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c-fls0041\finanse\Controling\KONTROLING\WSE report\na stronie - FINAL\"/>
    </mc:Choice>
  </mc:AlternateContent>
  <xr:revisionPtr revIDLastSave="0" documentId="8_{D95422F5-0F38-4AFF-A36D-0E442C121A16}" xr6:coauthVersionLast="47" xr6:coauthVersionMax="47" xr10:uidLastSave="{00000000-0000-0000-0000-000000000000}"/>
  <bookViews>
    <workbookView xWindow="-28920" yWindow="-10860" windowWidth="29040" windowHeight="15720" xr2:uid="{63CD0DAC-D57D-45FC-A701-BCC03CF696F7}"/>
  </bookViews>
  <sheets>
    <sheet name="Bilans Grupa" sheetId="1" r:id="rId1"/>
    <sheet name="RZiS Grupa" sheetId="14" r:id="rId2"/>
    <sheet name="P&amp;L Segm 09.2014" sheetId="8" state="hidden" r:id="rId3"/>
    <sheet name="P&amp;L Segm" sheetId="9" state="hidden" r:id="rId4"/>
    <sheet name="P&amp;L Segm 2011-2013" sheetId="7" state="hidden" r:id="rId5"/>
    <sheet name="CF Grupa" sheetId="15" r:id="rId6"/>
    <sheet name="Bilans Jednostk" sheetId="16" r:id="rId7"/>
    <sheet name="RZiS Jednostka" sheetId="17" r:id="rId8"/>
    <sheet name="CF Jednostka" sheetId="18" r:id="rId9"/>
    <sheet name="Segmenty" sheetId="10" state="hidden" r:id="rId10"/>
  </sheets>
  <externalReferences>
    <externalReference r:id="rId11"/>
  </externalReferences>
  <definedNames>
    <definedName name="AS2DocOpenMode" hidden="1">"AS2DocumentEdit"</definedName>
    <definedName name="_xlnm.Database" localSheetId="0">#REF!</definedName>
    <definedName name="_xlnm.Database" localSheetId="6">#REF!</definedName>
    <definedName name="_xlnm.Database" localSheetId="5">#REF!</definedName>
    <definedName name="_xlnm.Database" localSheetId="8">#REF!</definedName>
    <definedName name="_xlnm.Database" localSheetId="3">#REF!</definedName>
    <definedName name="_xlnm.Database" localSheetId="1">#REF!</definedName>
    <definedName name="_xlnm.Database" localSheetId="7">#REF!</definedName>
    <definedName name="_xlnm.Database" localSheetId="9">#REF!</definedName>
    <definedName name="_xlnm.Database">#REF!</definedName>
    <definedName name="Biez_Kw_Poprzedz">#REF!</definedName>
    <definedName name="bil_biez" localSheetId="3">#REF!</definedName>
    <definedName name="bil_biez" localSheetId="2">#REF!</definedName>
    <definedName name="bil_biez" localSheetId="4">#REF!</definedName>
    <definedName name="bil_biez" localSheetId="9">#REF!</definedName>
    <definedName name="bil_biez">#REF!</definedName>
    <definedName name="bil_biez1" localSheetId="3">#REF!</definedName>
    <definedName name="bil_biez1" localSheetId="4">#REF!</definedName>
    <definedName name="bil_biez1">#REF!</definedName>
    <definedName name="bil_BO" localSheetId="3">#REF!</definedName>
    <definedName name="bil_BO" localSheetId="2">#REF!</definedName>
    <definedName name="bil_BO" localSheetId="4">#REF!</definedName>
    <definedName name="bil_BO" localSheetId="9">#REF!</definedName>
    <definedName name="bil_BO">#REF!</definedName>
    <definedName name="bil_pop" localSheetId="3">#REF!</definedName>
    <definedName name="bil_pop" localSheetId="2">#REF!</definedName>
    <definedName name="bil_pop" localSheetId="4">#REF!</definedName>
    <definedName name="bil_pop" localSheetId="9">#REF!</definedName>
    <definedName name="bil_pop">#REF!</definedName>
    <definedName name="ffgaa" localSheetId="3">#REF!</definedName>
    <definedName name="ffgaa" localSheetId="9">#REF!</definedName>
    <definedName name="ffgaa">#REF!</definedName>
    <definedName name="_xlnm.Print_Area" localSheetId="0">'Bilans Grupa'!$B$5:$Y$70</definedName>
    <definedName name="_xlnm.Print_Area" localSheetId="6">'Bilans Jednostk'!$B$5:$Y$72</definedName>
    <definedName name="_xlnm.Print_Area" localSheetId="5">'CF Grupa'!$B$5:$Y$6</definedName>
    <definedName name="_xlnm.Print_Area" localSheetId="8">'CF Jednostka'!$B$5:$Y$6</definedName>
    <definedName name="_xlnm.Print_Area" localSheetId="1">'RZiS Grupa'!$B$5:$X$23</definedName>
    <definedName name="_xlnm.Print_Area" localSheetId="7">'RZiS Jednostka'!$B$5:$X$23</definedName>
    <definedName name="Ok_biez_kw" localSheetId="3">#REF!</definedName>
    <definedName name="Ok_biez_kw" localSheetId="2">#REF!</definedName>
    <definedName name="Ok_biez_kw" localSheetId="9">#REF!</definedName>
    <definedName name="Ok_biez_kw">#REF!</definedName>
    <definedName name="Ok_poprz_kw" localSheetId="3">#REF!</definedName>
    <definedName name="Ok_poprz_kw" localSheetId="2">#REF!</definedName>
    <definedName name="Ok_poprz_kw" localSheetId="9">#REF!</definedName>
    <definedName name="Ok_poprz_kw">#REF!</definedName>
    <definedName name="Ok_roczny" localSheetId="3">#REF!</definedName>
    <definedName name="Ok_roczny" localSheetId="2">#REF!</definedName>
    <definedName name="Ok_roczny" localSheetId="9">#REF!</definedName>
    <definedName name="Ok_roczny">#REF!</definedName>
    <definedName name="rac_biez1" localSheetId="3">#REF!</definedName>
    <definedName name="rac_biez1" localSheetId="4">#REF!</definedName>
    <definedName name="rac_biez1">#REF!</definedName>
    <definedName name="rach_biez" localSheetId="3">#REF!</definedName>
    <definedName name="rach_biez" localSheetId="2">#REF!</definedName>
    <definedName name="rach_biez" localSheetId="4">#REF!</definedName>
    <definedName name="rach_biez" localSheetId="9">#REF!</definedName>
    <definedName name="rach_biez">#REF!</definedName>
    <definedName name="rach_biez2" localSheetId="3">#REF!</definedName>
    <definedName name="rach_biez2" localSheetId="4">#REF!</definedName>
    <definedName name="rach_biez2">#REF!</definedName>
    <definedName name="rach_biez3" localSheetId="3">#REF!</definedName>
    <definedName name="rach_biez3" localSheetId="4">#REF!</definedName>
    <definedName name="rach_biez3">#REF!</definedName>
    <definedName name="rach_pop" localSheetId="3">#REF!</definedName>
    <definedName name="rach_pop" localSheetId="2">#REF!</definedName>
    <definedName name="rach_pop" localSheetId="4">#REF!</definedName>
    <definedName name="rach_pop" localSheetId="9">#REF!</definedName>
    <definedName name="rach_pop">#REF!</definedName>
    <definedName name="TextRefCopy1" localSheetId="0">#REF!</definedName>
    <definedName name="TextRefCopy1" localSheetId="6">#REF!</definedName>
    <definedName name="TextRefCopy1" localSheetId="5">#REF!</definedName>
    <definedName name="TextRefCopy1" localSheetId="8">#REF!</definedName>
    <definedName name="TextRefCopy1" localSheetId="3">#REF!</definedName>
    <definedName name="TextRefCopy1" localSheetId="1">#REF!</definedName>
    <definedName name="TextRefCopy1" localSheetId="7">#REF!</definedName>
    <definedName name="TextRefCopy1" localSheetId="9">#REF!</definedName>
    <definedName name="TextRefCopy1">#REF!</definedName>
    <definedName name="TextRefCopyRangeCount" localSheetId="3" hidden="1">1</definedName>
    <definedName name="TextRefCopyRangeCount" localSheetId="2" hidden="1">1</definedName>
    <definedName name="TextRefCopyRangeCount" localSheetId="4" hidden="1">1</definedName>
    <definedName name="TextRefCopyRangeCount" localSheetId="9" hidden="1">1</definedName>
    <definedName name="TextRefCopyRangeCount" hidden="1">15</definedName>
    <definedName name="Wal" localSheetId="3">#REF!</definedName>
    <definedName name="Wal" localSheetId="2">#REF!</definedName>
    <definedName name="Wal" localSheetId="4">#REF!</definedName>
    <definedName name="Wal" localSheetId="9">#REF!</definedName>
    <definedName name="Wal">#REF!</definedName>
    <definedName name="XREF_COLUMN_2" localSheetId="0" hidden="1">#REF!</definedName>
    <definedName name="XREF_COLUMN_2" localSheetId="6" hidden="1">#REF!</definedName>
    <definedName name="XREF_COLUMN_2" localSheetId="5" hidden="1">#REF!</definedName>
    <definedName name="XREF_COLUMN_2" localSheetId="8" hidden="1">#REF!</definedName>
    <definedName name="XREF_COLUMN_2" localSheetId="3" hidden="1">#REF!</definedName>
    <definedName name="XREF_COLUMN_2" localSheetId="1" hidden="1">#REF!</definedName>
    <definedName name="XREF_COLUMN_2" localSheetId="7" hidden="1">#REF!</definedName>
    <definedName name="XREF_COLUMN_2" localSheetId="9" hidden="1">#REF!</definedName>
    <definedName name="XREF_COLUMN_2" hidden="1">#REF!</definedName>
    <definedName name="XREF_COLUMN_3" localSheetId="0" hidden="1">#REF!</definedName>
    <definedName name="XREF_COLUMN_3" localSheetId="6" hidden="1">#REF!</definedName>
    <definedName name="XREF_COLUMN_3" localSheetId="5" hidden="1">#REF!</definedName>
    <definedName name="XREF_COLUMN_3" localSheetId="8" hidden="1">#REF!</definedName>
    <definedName name="XREF_COLUMN_3" localSheetId="3" hidden="1">#REF!</definedName>
    <definedName name="XREF_COLUMN_3" localSheetId="1" hidden="1">#REF!</definedName>
    <definedName name="XREF_COLUMN_3" localSheetId="7" hidden="1">#REF!</definedName>
    <definedName name="XREF_COLUMN_3" localSheetId="9" hidden="1">#REF!</definedName>
    <definedName name="XREF_COLUMN_3" hidden="1">#REF!</definedName>
    <definedName name="XREF_COLUMN_4" localSheetId="0" hidden="1">#REF!</definedName>
    <definedName name="XREF_COLUMN_4" localSheetId="6" hidden="1">#REF!</definedName>
    <definedName name="XREF_COLUMN_4" localSheetId="5" hidden="1">#REF!</definedName>
    <definedName name="XREF_COLUMN_4" localSheetId="8" hidden="1">#REF!</definedName>
    <definedName name="XREF_COLUMN_4" localSheetId="3" hidden="1">#REF!</definedName>
    <definedName name="XREF_COLUMN_4" localSheetId="1" hidden="1">#REF!</definedName>
    <definedName name="XREF_COLUMN_4" localSheetId="7" hidden="1">#REF!</definedName>
    <definedName name="XREF_COLUMN_4" localSheetId="9" hidden="1">#REF!</definedName>
    <definedName name="XREF_COLUMN_4" hidden="1">#REF!</definedName>
    <definedName name="XREF_COLUMN_5" localSheetId="0" hidden="1">#REF!</definedName>
    <definedName name="XREF_COLUMN_5" localSheetId="6" hidden="1">#REF!</definedName>
    <definedName name="XREF_COLUMN_5" localSheetId="5" hidden="1">#REF!</definedName>
    <definedName name="XREF_COLUMN_5" localSheetId="8" hidden="1">#REF!</definedName>
    <definedName name="XREF_COLUMN_5" localSheetId="1" hidden="1">#REF!</definedName>
    <definedName name="XREF_COLUMN_5" localSheetId="7" hidden="1">#REF!</definedName>
    <definedName name="XREF_COLUMN_5" localSheetId="9" hidden="1">#REF!</definedName>
    <definedName name="XREF_COLUMN_5" hidden="1">#REF!</definedName>
    <definedName name="XRefColumnsCount" hidden="1">8</definedName>
    <definedName name="XRefCopy2" localSheetId="0" hidden="1">#REF!</definedName>
    <definedName name="XRefCopy2" localSheetId="6" hidden="1">#REF!</definedName>
    <definedName name="XRefCopy2" localSheetId="5" hidden="1">#REF!</definedName>
    <definedName name="XRefCopy2" localSheetId="8" hidden="1">#REF!</definedName>
    <definedName name="XRefCopy2" localSheetId="3" hidden="1">#REF!</definedName>
    <definedName name="XRefCopy2" localSheetId="1" hidden="1">#REF!</definedName>
    <definedName name="XRefCopy2" localSheetId="7" hidden="1">#REF!</definedName>
    <definedName name="XRefCopy2" localSheetId="9" hidden="1">#REF!</definedName>
    <definedName name="XRefCopy2" hidden="1">#REF!</definedName>
    <definedName name="XRefCopyRangeCount" hidden="1">6</definedName>
    <definedName name="XRefPaste1" localSheetId="0" hidden="1">#REF!</definedName>
    <definedName name="XRefPaste1" localSheetId="6" hidden="1">#REF!</definedName>
    <definedName name="XRefPaste1" localSheetId="5" hidden="1">#REF!</definedName>
    <definedName name="XRefPaste1" localSheetId="8" hidden="1">#REF!</definedName>
    <definedName name="XRefPaste1" localSheetId="3" hidden="1">#REF!</definedName>
    <definedName name="XRefPaste1" localSheetId="1" hidden="1">#REF!</definedName>
    <definedName name="XRefPaste1" localSheetId="7" hidden="1">#REF!</definedName>
    <definedName name="XRefPaste1" localSheetId="9" hidden="1">#REF!</definedName>
    <definedName name="XRefPaste1" hidden="1">#REF!</definedName>
    <definedName name="XRefPaste3" localSheetId="0" hidden="1">#REF!</definedName>
    <definedName name="XRefPaste3" localSheetId="6" hidden="1">#REF!</definedName>
    <definedName name="XRefPaste3" localSheetId="5" hidden="1">#REF!</definedName>
    <definedName name="XRefPaste3" localSheetId="8" hidden="1">#REF!</definedName>
    <definedName name="XRefPaste3" localSheetId="3" hidden="1">#REF!</definedName>
    <definedName name="XRefPaste3" localSheetId="1" hidden="1">#REF!</definedName>
    <definedName name="XRefPaste3" localSheetId="7" hidden="1">#REF!</definedName>
    <definedName name="XRefPaste3" localSheetId="9" hidden="1">#REF!</definedName>
    <definedName name="XRefPaste3" hidden="1">#REF!</definedName>
    <definedName name="XRefPaste4" localSheetId="0" hidden="1">#REF!</definedName>
    <definedName name="XRefPaste4" localSheetId="6" hidden="1">#REF!</definedName>
    <definedName name="XRefPaste4" localSheetId="5" hidden="1">#REF!</definedName>
    <definedName name="XRefPaste4" localSheetId="8" hidden="1">#REF!</definedName>
    <definedName name="XRefPaste4" localSheetId="3" hidden="1">#REF!</definedName>
    <definedName name="XRefPaste4" localSheetId="1" hidden="1">#REF!</definedName>
    <definedName name="XRefPaste4" localSheetId="7" hidden="1">#REF!</definedName>
    <definedName name="XRefPaste4" localSheetId="9" hidden="1">#REF!</definedName>
    <definedName name="XRefPaste4" hidden="1">#REF!</definedName>
    <definedName name="XRefPasteRangeCount" hidden="1">7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18" l="1"/>
  <c r="D67" i="18"/>
  <c r="D66" i="18"/>
  <c r="D62" i="18"/>
  <c r="D61" i="18"/>
  <c r="D60" i="18"/>
  <c r="D59" i="18"/>
  <c r="D55" i="18"/>
  <c r="D54" i="18"/>
  <c r="D53" i="18"/>
  <c r="D52" i="18"/>
  <c r="D51" i="18" s="1"/>
  <c r="D49" i="18"/>
  <c r="D47" i="18"/>
  <c r="D46" i="18"/>
  <c r="D45" i="18" s="1"/>
  <c r="D39" i="18"/>
  <c r="D38" i="18"/>
  <c r="D37" i="18"/>
  <c r="D35" i="18"/>
  <c r="D34" i="18"/>
  <c r="D33" i="18"/>
  <c r="D32" i="18"/>
  <c r="D25" i="18"/>
  <c r="D24" i="18"/>
  <c r="D23" i="18"/>
  <c r="D22" i="18"/>
  <c r="D21" i="18"/>
  <c r="D20" i="18"/>
  <c r="D16" i="18"/>
  <c r="D15" i="18"/>
  <c r="D14" i="18"/>
  <c r="D13" i="18"/>
  <c r="D12" i="18"/>
  <c r="D11" i="18"/>
  <c r="D10" i="18"/>
  <c r="D9" i="18"/>
  <c r="D33" i="17"/>
  <c r="D32" i="17"/>
  <c r="D35" i="17" s="1"/>
  <c r="D26" i="17"/>
  <c r="D25" i="17"/>
  <c r="D28" i="17" s="1"/>
  <c r="D19" i="17"/>
  <c r="D18" i="17"/>
  <c r="D21" i="17" s="1"/>
  <c r="D16" i="17"/>
  <c r="D15" i="17"/>
  <c r="D14" i="17"/>
  <c r="D10" i="17"/>
  <c r="D9" i="17"/>
  <c r="D8" i="17"/>
  <c r="D12" i="17" s="1"/>
  <c r="D74" i="16"/>
  <c r="D67" i="16"/>
  <c r="D66" i="16"/>
  <c r="D65" i="16"/>
  <c r="D64" i="16"/>
  <c r="D63" i="16"/>
  <c r="D69" i="16" s="1"/>
  <c r="D58" i="16"/>
  <c r="D57" i="16"/>
  <c r="D56" i="16"/>
  <c r="D55" i="16"/>
  <c r="D54" i="16"/>
  <c r="D52" i="16"/>
  <c r="D51" i="16"/>
  <c r="D50" i="16"/>
  <c r="D49" i="16"/>
  <c r="D44" i="16"/>
  <c r="D43" i="16"/>
  <c r="D42" i="16"/>
  <c r="D41" i="16"/>
  <c r="D40" i="16"/>
  <c r="D39" i="16"/>
  <c r="D38" i="16"/>
  <c r="D29" i="16"/>
  <c r="D28" i="16"/>
  <c r="D27" i="16"/>
  <c r="D26" i="16"/>
  <c r="D25" i="16"/>
  <c r="D24" i="16"/>
  <c r="D23" i="16"/>
  <c r="D18" i="16"/>
  <c r="D17" i="16"/>
  <c r="D16" i="16"/>
  <c r="D15" i="16"/>
  <c r="D14" i="16"/>
  <c r="D13" i="16"/>
  <c r="D12" i="16"/>
  <c r="D11" i="16"/>
  <c r="D10" i="16"/>
  <c r="D68" i="15"/>
  <c r="D66" i="15"/>
  <c r="D65" i="15"/>
  <c r="D64" i="15"/>
  <c r="D62" i="15"/>
  <c r="D60" i="15"/>
  <c r="D59" i="15"/>
  <c r="D58" i="15"/>
  <c r="D57" i="15"/>
  <c r="D53" i="15"/>
  <c r="D52" i="15"/>
  <c r="D51" i="15"/>
  <c r="D50" i="15"/>
  <c r="D49" i="15" s="1"/>
  <c r="D47" i="15"/>
  <c r="D45" i="15"/>
  <c r="D38" i="15"/>
  <c r="D37" i="15"/>
  <c r="D36" i="15"/>
  <c r="D34" i="15"/>
  <c r="D33" i="15"/>
  <c r="D31" i="15" s="1"/>
  <c r="D32" i="15"/>
  <c r="D25" i="15"/>
  <c r="D24" i="15"/>
  <c r="D23" i="15"/>
  <c r="D22" i="15"/>
  <c r="D21" i="15"/>
  <c r="D20" i="15"/>
  <c r="D16" i="15"/>
  <c r="D15" i="15"/>
  <c r="D14" i="15"/>
  <c r="D13" i="15"/>
  <c r="D12" i="15"/>
  <c r="D11" i="15"/>
  <c r="D10" i="15"/>
  <c r="D9" i="15"/>
  <c r="BX45" i="10"/>
  <c r="BV45" i="10"/>
  <c r="BP45" i="10"/>
  <c r="BN45" i="10"/>
  <c r="BX42" i="10"/>
  <c r="BX41" i="10"/>
  <c r="BX40" i="10"/>
  <c r="BX39" i="10"/>
  <c r="BX38" i="10"/>
  <c r="BX37" i="10"/>
  <c r="BX36" i="10"/>
  <c r="BV41" i="10"/>
  <c r="BV40" i="10"/>
  <c r="BV39" i="10"/>
  <c r="BV38" i="10"/>
  <c r="BV37" i="10"/>
  <c r="BV36" i="10"/>
  <c r="BT41" i="10"/>
  <c r="BT39" i="10"/>
  <c r="BT38" i="10"/>
  <c r="BT37" i="10"/>
  <c r="BT36" i="10"/>
  <c r="BR42" i="10"/>
  <c r="BR41" i="10"/>
  <c r="BR39" i="10"/>
  <c r="BR38" i="10"/>
  <c r="BR37" i="10"/>
  <c r="BR36" i="10"/>
  <c r="BP42" i="10"/>
  <c r="BP41" i="10"/>
  <c r="BP40" i="10"/>
  <c r="BP39" i="10"/>
  <c r="BP38" i="10"/>
  <c r="BP37" i="10"/>
  <c r="BP36" i="10"/>
  <c r="BN42" i="10"/>
  <c r="BN41" i="10"/>
  <c r="BN40" i="10"/>
  <c r="BN39" i="10"/>
  <c r="BN38" i="10"/>
  <c r="BN37" i="10"/>
  <c r="BN36" i="10"/>
  <c r="BX33" i="10"/>
  <c r="BX32" i="10"/>
  <c r="BX31" i="10"/>
  <c r="BV33" i="10"/>
  <c r="BV32" i="10"/>
  <c r="BV31" i="10"/>
  <c r="BT33" i="10"/>
  <c r="BT32" i="10"/>
  <c r="BT31" i="10"/>
  <c r="BR33" i="10"/>
  <c r="BR32" i="10"/>
  <c r="BR31" i="10"/>
  <c r="BP33" i="10"/>
  <c r="BP32" i="10"/>
  <c r="BP31" i="10"/>
  <c r="BN33" i="10"/>
  <c r="BN32" i="10"/>
  <c r="BN31" i="10"/>
  <c r="AR43" i="10"/>
  <c r="AR41" i="10"/>
  <c r="AP41" i="10"/>
  <c r="AJ41" i="10"/>
  <c r="AH41" i="10"/>
  <c r="AP34" i="10"/>
  <c r="D20" i="16" l="1"/>
  <c r="D60" i="16"/>
  <c r="D44" i="15"/>
  <c r="D55" i="15" s="1"/>
  <c r="D64" i="18"/>
  <c r="D18" i="18"/>
  <c r="D27" i="18" s="1"/>
  <c r="D57" i="18"/>
  <c r="D40" i="15"/>
  <c r="D31" i="16"/>
  <c r="D46" i="16"/>
  <c r="D71" i="16" s="1"/>
  <c r="D18" i="15"/>
  <c r="D27" i="15" s="1"/>
  <c r="D31" i="18"/>
  <c r="D41" i="18" s="1"/>
  <c r="D70" i="18"/>
  <c r="D23" i="17"/>
  <c r="D30" i="17" s="1"/>
  <c r="D37" i="17" s="1"/>
  <c r="BZ36" i="10"/>
  <c r="D33" i="16" l="1"/>
  <c r="D76" i="16" s="1"/>
  <c r="N49" i="10"/>
  <c r="L41" i="10"/>
  <c r="J41" i="10"/>
  <c r="H41" i="10"/>
  <c r="F41" i="10"/>
  <c r="D41" i="10"/>
  <c r="B41" i="10"/>
  <c r="N15" i="10"/>
  <c r="F5" i="10"/>
  <c r="H5" i="10" l="1"/>
  <c r="J5" i="10"/>
  <c r="J32" i="10"/>
  <c r="J31" i="10"/>
  <c r="D42" i="10"/>
  <c r="N41" i="10"/>
  <c r="AD49" i="10"/>
  <c r="AB41" i="10"/>
  <c r="Z41" i="10"/>
  <c r="X41" i="10"/>
  <c r="V41" i="10"/>
  <c r="T41" i="10"/>
  <c r="R41" i="10"/>
  <c r="L40" i="10"/>
  <c r="J40" i="10"/>
  <c r="J37" i="10"/>
  <c r="J36" i="10"/>
  <c r="H39" i="10"/>
  <c r="H38" i="10"/>
  <c r="H37" i="10"/>
  <c r="H36" i="10"/>
  <c r="F39" i="10"/>
  <c r="F38" i="10"/>
  <c r="F37" i="10"/>
  <c r="F36" i="10"/>
  <c r="D40" i="10"/>
  <c r="D39" i="10"/>
  <c r="D38" i="10"/>
  <c r="B40" i="10"/>
  <c r="B39" i="10"/>
  <c r="L32" i="10"/>
  <c r="L31" i="10"/>
  <c r="J33" i="10"/>
  <c r="F33" i="10"/>
  <c r="H33" i="10" s="1"/>
  <c r="F32" i="10"/>
  <c r="H32" i="10" s="1"/>
  <c r="AD15" i="10"/>
  <c r="D33" i="10"/>
  <c r="D32" i="10"/>
  <c r="B33" i="10"/>
  <c r="AD41" i="10" l="1"/>
  <c r="AB5" i="10"/>
  <c r="X5" i="10"/>
  <c r="R5" i="10"/>
  <c r="T5" i="10"/>
  <c r="J30" i="10"/>
  <c r="V9" i="10"/>
  <c r="B42" i="10"/>
  <c r="X9" i="10"/>
  <c r="X18" i="10" s="1"/>
  <c r="X23" i="10" s="1"/>
  <c r="AD23" i="10" s="1"/>
  <c r="AD19" i="10"/>
  <c r="V5" i="10"/>
  <c r="F31" i="10"/>
  <c r="AD11" i="10"/>
  <c r="D37" i="10"/>
  <c r="F42" i="10"/>
  <c r="T9" i="10"/>
  <c r="AB9" i="10"/>
  <c r="AB18" i="10" s="1"/>
  <c r="AB21" i="10" s="1"/>
  <c r="Z9" i="10"/>
  <c r="Z18" i="10" s="1"/>
  <c r="Z21" i="10" s="1"/>
  <c r="AD16" i="10"/>
  <c r="R9" i="10"/>
  <c r="AD10" i="10"/>
  <c r="AD14" i="10"/>
  <c r="AD12" i="10"/>
  <c r="AD13" i="10"/>
  <c r="AD6" i="10"/>
  <c r="AD7" i="10"/>
  <c r="V18" i="10" l="1"/>
  <c r="V21" i="10" s="1"/>
  <c r="T18" i="10"/>
  <c r="T21" i="10" s="1"/>
  <c r="R18" i="10"/>
  <c r="R21" i="10" s="1"/>
  <c r="H31" i="10"/>
  <c r="H30" i="10" s="1"/>
  <c r="F30" i="10"/>
  <c r="AD9" i="10"/>
  <c r="AD5" i="10"/>
  <c r="AD21" i="10" l="1"/>
  <c r="AD18" i="10"/>
  <c r="BH45" i="10"/>
  <c r="BF45" i="10"/>
  <c r="AZ45" i="10"/>
  <c r="AX45" i="10"/>
  <c r="BH42" i="10"/>
  <c r="BH41" i="10"/>
  <c r="BH40" i="10"/>
  <c r="BH39" i="10"/>
  <c r="BH38" i="10"/>
  <c r="BH37" i="10"/>
  <c r="BH36" i="10"/>
  <c r="BF42" i="10"/>
  <c r="BF41" i="10"/>
  <c r="BF40" i="10"/>
  <c r="BF39" i="10"/>
  <c r="BF38" i="10"/>
  <c r="BF37" i="10"/>
  <c r="BF36" i="10"/>
  <c r="AZ42" i="10"/>
  <c r="AZ41" i="10"/>
  <c r="AZ40" i="10"/>
  <c r="AZ39" i="10"/>
  <c r="AZ38" i="10"/>
  <c r="AZ37" i="10"/>
  <c r="AZ36" i="10"/>
  <c r="AX42" i="10"/>
  <c r="AX41" i="10"/>
  <c r="AX40" i="10"/>
  <c r="AX39" i="10"/>
  <c r="AX38" i="10"/>
  <c r="AX37" i="10"/>
  <c r="AX36" i="10"/>
  <c r="BH33" i="10"/>
  <c r="BH32" i="10"/>
  <c r="BH31" i="10"/>
  <c r="BF33" i="10"/>
  <c r="BF32" i="10"/>
  <c r="BF31" i="10"/>
  <c r="BD33" i="10"/>
  <c r="BD32" i="10"/>
  <c r="BD31" i="10"/>
  <c r="BB33" i="10"/>
  <c r="BB32" i="10"/>
  <c r="BB31" i="10"/>
  <c r="AZ33" i="10"/>
  <c r="AZ32" i="10"/>
  <c r="AZ31" i="10"/>
  <c r="CN45" i="10"/>
  <c r="CL45" i="10"/>
  <c r="CF45" i="10"/>
  <c r="CD45" i="10"/>
  <c r="CN42" i="10"/>
  <c r="CN41" i="10"/>
  <c r="CN40" i="10"/>
  <c r="CN39" i="10"/>
  <c r="CN38" i="10"/>
  <c r="CN37" i="10"/>
  <c r="CN36" i="10"/>
  <c r="CL41" i="10"/>
  <c r="CL40" i="10"/>
  <c r="CL39" i="10"/>
  <c r="CL38" i="10"/>
  <c r="CL37" i="10"/>
  <c r="CL36" i="10"/>
  <c r="CJ41" i="10"/>
  <c r="CJ39" i="10"/>
  <c r="CJ38" i="10"/>
  <c r="CJ37" i="10"/>
  <c r="CJ36" i="10"/>
  <c r="CH42" i="10"/>
  <c r="CH41" i="10"/>
  <c r="CH39" i="10"/>
  <c r="CH38" i="10"/>
  <c r="CH37" i="10"/>
  <c r="CH36" i="10"/>
  <c r="CF38" i="10"/>
  <c r="CF37" i="10"/>
  <c r="CF36" i="10"/>
  <c r="CD38" i="10"/>
  <c r="CD37" i="10"/>
  <c r="CD36" i="10"/>
  <c r="CN33" i="10"/>
  <c r="CN32" i="10"/>
  <c r="CN31" i="10"/>
  <c r="CL33" i="10"/>
  <c r="CL32" i="10"/>
  <c r="CL31" i="10"/>
  <c r="CJ33" i="10"/>
  <c r="CJ32" i="10"/>
  <c r="CJ31" i="10"/>
  <c r="CH33" i="10"/>
  <c r="CH32" i="10"/>
  <c r="CH31" i="10"/>
  <c r="CF33" i="10"/>
  <c r="CF32" i="10"/>
  <c r="CF31" i="10"/>
  <c r="DD45" i="10"/>
  <c r="DB45" i="10"/>
  <c r="CV45" i="10"/>
  <c r="CT45" i="10"/>
  <c r="DD42" i="10"/>
  <c r="DD41" i="10"/>
  <c r="DD40" i="10"/>
  <c r="DD39" i="10"/>
  <c r="DD38" i="10"/>
  <c r="DD37" i="10"/>
  <c r="DD36" i="10"/>
  <c r="DB41" i="10"/>
  <c r="DB40" i="10"/>
  <c r="DB39" i="10"/>
  <c r="DB38" i="10"/>
  <c r="DB37" i="10"/>
  <c r="DB36" i="10"/>
  <c r="CZ41" i="10"/>
  <c r="CZ39" i="10"/>
  <c r="CZ38" i="10"/>
  <c r="CZ37" i="10"/>
  <c r="CZ36" i="10"/>
  <c r="CX42" i="10"/>
  <c r="CX41" i="10"/>
  <c r="CX39" i="10"/>
  <c r="CX38" i="10"/>
  <c r="CX37" i="10"/>
  <c r="CX36" i="10"/>
  <c r="CV42" i="10"/>
  <c r="CV41" i="10"/>
  <c r="CV40" i="10"/>
  <c r="CV39" i="10"/>
  <c r="CV38" i="10"/>
  <c r="CV37" i="10"/>
  <c r="CV36" i="10"/>
  <c r="CT42" i="10"/>
  <c r="CT41" i="10"/>
  <c r="CT40" i="10"/>
  <c r="CT39" i="10"/>
  <c r="CT38" i="10"/>
  <c r="CT37" i="10"/>
  <c r="CT36" i="10"/>
  <c r="DD33" i="10"/>
  <c r="DD32" i="10"/>
  <c r="DD31" i="10"/>
  <c r="DB33" i="10"/>
  <c r="DB32" i="10"/>
  <c r="DB31" i="10"/>
  <c r="CZ33" i="10"/>
  <c r="CZ32" i="10"/>
  <c r="CZ31" i="10"/>
  <c r="CX33" i="10"/>
  <c r="CX32" i="10"/>
  <c r="CX31" i="10"/>
  <c r="CV33" i="10"/>
  <c r="CV32" i="10"/>
  <c r="CV31" i="10"/>
  <c r="DT45" i="10" l="1"/>
  <c r="DR45" i="10"/>
  <c r="DL45" i="10"/>
  <c r="DJ45" i="10"/>
  <c r="DT38" i="10"/>
  <c r="DT37" i="10"/>
  <c r="DT36" i="10"/>
  <c r="DR38" i="10"/>
  <c r="DR37" i="10"/>
  <c r="DR36" i="10"/>
  <c r="DP38" i="10"/>
  <c r="DP37" i="10"/>
  <c r="DP36" i="10"/>
  <c r="DN38" i="10"/>
  <c r="DN37" i="10"/>
  <c r="DN36" i="10"/>
  <c r="DL38" i="10"/>
  <c r="DL37" i="10"/>
  <c r="DL36" i="10"/>
  <c r="DJ38" i="10"/>
  <c r="DJ37" i="10"/>
  <c r="DJ36" i="10"/>
  <c r="DT33" i="10"/>
  <c r="DT32" i="10"/>
  <c r="DT31" i="10"/>
  <c r="DR33" i="10"/>
  <c r="DR32" i="10"/>
  <c r="DR31" i="10"/>
  <c r="DP33" i="10"/>
  <c r="DP32" i="10"/>
  <c r="DP31" i="10"/>
  <c r="DN33" i="10"/>
  <c r="DN32" i="10"/>
  <c r="DN31" i="10"/>
  <c r="DL33" i="10"/>
  <c r="DL32" i="10"/>
  <c r="DL31" i="10"/>
  <c r="CZ45" i="10"/>
  <c r="CX45" i="10"/>
  <c r="DB42" i="10"/>
  <c r="CZ40" i="10"/>
  <c r="CX40" i="10"/>
  <c r="DJ27" i="10"/>
  <c r="CT27" i="10"/>
  <c r="CD27" i="10"/>
  <c r="BN27" i="10"/>
  <c r="CJ30" i="10"/>
  <c r="CJ5" i="10"/>
  <c r="CZ30" i="10"/>
  <c r="CZ9" i="10"/>
  <c r="CZ5" i="10"/>
  <c r="DP41" i="10"/>
  <c r="DP39" i="10"/>
  <c r="DP30" i="10"/>
  <c r="DP5" i="10"/>
  <c r="CJ40" i="10" l="1"/>
  <c r="BT40" i="10"/>
  <c r="CH45" i="10"/>
  <c r="BR45" i="10"/>
  <c r="CH40" i="10"/>
  <c r="BR40" i="10"/>
  <c r="CJ42" i="10"/>
  <c r="CJ35" i="10" s="1"/>
  <c r="CJ44" i="10" s="1"/>
  <c r="BT42" i="10"/>
  <c r="CL42" i="10"/>
  <c r="BV42" i="10"/>
  <c r="CJ45" i="10"/>
  <c r="BT45" i="10"/>
  <c r="DN45" i="10"/>
  <c r="DP45" i="10"/>
  <c r="DP42" i="10"/>
  <c r="CZ42" i="10"/>
  <c r="CJ9" i="10"/>
  <c r="CJ18" i="10" s="1"/>
  <c r="CJ23" i="10" s="1"/>
  <c r="DP40" i="10"/>
  <c r="CZ35" i="10"/>
  <c r="CZ44" i="10" s="1"/>
  <c r="CZ50" i="10" s="1"/>
  <c r="DP9" i="10"/>
  <c r="DP18" i="10" s="1"/>
  <c r="DP23" i="10" s="1"/>
  <c r="DV23" i="10" s="1"/>
  <c r="CZ18" i="10"/>
  <c r="CZ23" i="10" s="1"/>
  <c r="DP35" i="10" l="1"/>
  <c r="DP44" i="10" s="1"/>
  <c r="CJ50" i="10"/>
  <c r="DP50" i="10"/>
  <c r="BZ45" i="10"/>
  <c r="AX27" i="10"/>
  <c r="AT49" i="10"/>
  <c r="BD30" i="10"/>
  <c r="BD45" i="10"/>
  <c r="BB45" i="10"/>
  <c r="BD42" i="10"/>
  <c r="AN41" i="10"/>
  <c r="BD40" i="10"/>
  <c r="BD39" i="10"/>
  <c r="BD38" i="10"/>
  <c r="BD37" i="10"/>
  <c r="BD36" i="10"/>
  <c r="BB42" i="10"/>
  <c r="AL41" i="10"/>
  <c r="BB40" i="10"/>
  <c r="BB39" i="10"/>
  <c r="BB38" i="10"/>
  <c r="BB37" i="10"/>
  <c r="BB36" i="10"/>
  <c r="BD5" i="10"/>
  <c r="BD41" i="10" l="1"/>
  <c r="BD35" i="10" s="1"/>
  <c r="BD44" i="10" s="1"/>
  <c r="BD50" i="10" s="1"/>
  <c r="BJ50" i="10" s="1"/>
  <c r="BB41" i="10"/>
  <c r="BJ11" i="10"/>
  <c r="BD9" i="10"/>
  <c r="BD18" i="10" s="1"/>
  <c r="BD23" i="10" s="1"/>
  <c r="BJ23" i="10" s="1"/>
  <c r="AT41" i="10"/>
  <c r="AR40" i="10" l="1"/>
  <c r="AP40" i="10"/>
  <c r="AP37" i="10"/>
  <c r="AP36" i="10"/>
  <c r="AN39" i="10"/>
  <c r="AN38" i="10"/>
  <c r="AN37" i="10"/>
  <c r="AN36" i="10"/>
  <c r="AL42" i="10"/>
  <c r="AL39" i="10"/>
  <c r="AL38" i="10"/>
  <c r="AL37" i="10"/>
  <c r="AL36" i="10"/>
  <c r="AJ42" i="10"/>
  <c r="AJ40" i="10"/>
  <c r="AJ39" i="10"/>
  <c r="AR32" i="10"/>
  <c r="AR31" i="10"/>
  <c r="AP33" i="10"/>
  <c r="AP32" i="10"/>
  <c r="AN33" i="10"/>
  <c r="AN32" i="10"/>
  <c r="AN31" i="10"/>
  <c r="AL33" i="10"/>
  <c r="AL31" i="10"/>
  <c r="AH42" i="10"/>
  <c r="AH40" i="10"/>
  <c r="AH39" i="10"/>
  <c r="AJ33" i="10"/>
  <c r="AJ32" i="10"/>
  <c r="AH33" i="10"/>
  <c r="BT9" i="10"/>
  <c r="Z31" i="10" l="1"/>
  <c r="AP31" i="10"/>
  <c r="V32" i="10"/>
  <c r="X32" i="10" s="1"/>
  <c r="AL32" i="10"/>
  <c r="T39" i="10"/>
  <c r="X37" i="10"/>
  <c r="V36" i="10"/>
  <c r="X39" i="10"/>
  <c r="T32" i="10"/>
  <c r="T40" i="10"/>
  <c r="T42" i="10"/>
  <c r="Z32" i="10"/>
  <c r="V37" i="10"/>
  <c r="Z36" i="10"/>
  <c r="T33" i="10"/>
  <c r="R39" i="10"/>
  <c r="R40" i="10"/>
  <c r="V38" i="10"/>
  <c r="Z37" i="10"/>
  <c r="Z33" i="10"/>
  <c r="AB31" i="10"/>
  <c r="V39" i="10"/>
  <c r="Z40" i="10"/>
  <c r="X36" i="10"/>
  <c r="X38" i="10"/>
  <c r="R42" i="10"/>
  <c r="V31" i="10"/>
  <c r="R33" i="10"/>
  <c r="V33" i="10"/>
  <c r="X33" i="10" s="1"/>
  <c r="AB32" i="10"/>
  <c r="V42" i="10"/>
  <c r="AB40" i="10"/>
  <c r="AN5" i="10"/>
  <c r="AP5" i="10"/>
  <c r="AL5" i="10"/>
  <c r="AT15" i="10"/>
  <c r="BT5" i="10"/>
  <c r="BT18" i="10" s="1"/>
  <c r="BT23" i="10" s="1"/>
  <c r="Z30" i="10" l="1"/>
  <c r="AP30" i="10"/>
  <c r="X31" i="10"/>
  <c r="X30" i="10" s="1"/>
  <c r="V30" i="10"/>
  <c r="AN30" i="10"/>
  <c r="AL30" i="10"/>
  <c r="BJ19" i="10" l="1"/>
  <c r="AZ5" i="10"/>
  <c r="AX33" i="10"/>
  <c r="AH27" i="10"/>
  <c r="R27" i="10"/>
  <c r="B27" i="10"/>
  <c r="BJ15" i="10"/>
  <c r="AX32" i="10"/>
  <c r="BJ14" i="10" l="1"/>
  <c r="BJ40" i="10"/>
  <c r="AZ30" i="10"/>
  <c r="BH5" i="10"/>
  <c r="BB5" i="10"/>
  <c r="BJ10" i="10"/>
  <c r="BB9" i="10"/>
  <c r="BF9" i="10"/>
  <c r="AX5" i="10"/>
  <c r="BF5" i="10"/>
  <c r="BJ16" i="10"/>
  <c r="BJ42" i="10"/>
  <c r="AX9" i="10"/>
  <c r="BH9" i="10"/>
  <c r="BJ13" i="10"/>
  <c r="BJ36" i="10"/>
  <c r="BJ12" i="10"/>
  <c r="AZ9" i="10"/>
  <c r="AZ18" i="10" s="1"/>
  <c r="AZ21" i="10" s="1"/>
  <c r="BJ39" i="10"/>
  <c r="BH30" i="10"/>
  <c r="BJ7" i="10"/>
  <c r="BJ6" i="10"/>
  <c r="AX31" i="10"/>
  <c r="AX30" i="10" s="1"/>
  <c r="BJ45" i="10"/>
  <c r="BJ38" i="10"/>
  <c r="BJ37" i="10"/>
  <c r="BF30" i="10"/>
  <c r="BJ33" i="10"/>
  <c r="AX35" i="10"/>
  <c r="BB30" i="10"/>
  <c r="BF35" i="10"/>
  <c r="BF18" i="10" l="1"/>
  <c r="BF21" i="10" s="1"/>
  <c r="AX18" i="10"/>
  <c r="AX21" i="10" s="1"/>
  <c r="AZ35" i="10"/>
  <c r="AZ44" i="10" s="1"/>
  <c r="AZ47" i="10" s="1"/>
  <c r="BH18" i="10"/>
  <c r="BH21" i="10" s="1"/>
  <c r="BH35" i="10"/>
  <c r="BH44" i="10" s="1"/>
  <c r="BH47" i="10" s="1"/>
  <c r="BJ5" i="10"/>
  <c r="BB18" i="10"/>
  <c r="BB21" i="10" s="1"/>
  <c r="BB35" i="10"/>
  <c r="BB44" i="10" s="1"/>
  <c r="BB47" i="10" s="1"/>
  <c r="BJ9" i="10"/>
  <c r="BJ32" i="10"/>
  <c r="BJ31" i="10"/>
  <c r="BJ41" i="10"/>
  <c r="BF44" i="10"/>
  <c r="BF47" i="10" s="1"/>
  <c r="AX44" i="10"/>
  <c r="AX47" i="10" s="1"/>
  <c r="BJ30" i="10"/>
  <c r="BJ18" i="10" l="1"/>
  <c r="BJ21" i="10"/>
  <c r="BJ47" i="10"/>
  <c r="BJ35" i="10"/>
  <c r="BJ44" i="10" s="1"/>
  <c r="CF41" i="10"/>
  <c r="CD41" i="10"/>
  <c r="CD42" i="10"/>
  <c r="BT30" i="10" l="1"/>
  <c r="BT35" i="10"/>
  <c r="CD40" i="10"/>
  <c r="CF39" i="10"/>
  <c r="CF40" i="10"/>
  <c r="CF42" i="10"/>
  <c r="CD33" i="10"/>
  <c r="CD39" i="10"/>
  <c r="CL9" i="10"/>
  <c r="BT44" i="10" l="1"/>
  <c r="BT50" i="10" s="1"/>
  <c r="DT41" i="10" l="1"/>
  <c r="DT42" i="10"/>
  <c r="DJ33" i="10"/>
  <c r="CT33" i="10"/>
  <c r="DL40" i="10"/>
  <c r="DN41" i="10"/>
  <c r="DN39" i="10"/>
  <c r="DL39" i="10"/>
  <c r="DL41" i="10"/>
  <c r="DN42" i="10"/>
  <c r="DJ42" i="10"/>
  <c r="DN40" i="10"/>
  <c r="DL42" i="10"/>
  <c r="DJ39" i="10"/>
  <c r="DJ40" i="10"/>
  <c r="DR40" i="10"/>
  <c r="DJ41" i="10"/>
  <c r="DR42" i="10"/>
  <c r="DV42" i="10" l="1"/>
  <c r="DN35" i="10"/>
  <c r="DR30" i="10"/>
  <c r="DN30" i="10"/>
  <c r="DV16" i="10"/>
  <c r="DN9" i="10"/>
  <c r="DR5" i="10"/>
  <c r="DN5" i="10"/>
  <c r="CX35" i="10"/>
  <c r="DB30" i="10"/>
  <c r="CX30" i="10"/>
  <c r="DF15" i="10"/>
  <c r="DF14" i="10"/>
  <c r="CX9" i="10"/>
  <c r="DB5" i="10"/>
  <c r="CX5" i="10"/>
  <c r="CP41" i="10"/>
  <c r="CP16" i="10"/>
  <c r="CP15" i="10"/>
  <c r="CP14" i="10"/>
  <c r="CP13" i="10"/>
  <c r="CP12" i="10"/>
  <c r="CP11" i="10"/>
  <c r="CP10" i="10"/>
  <c r="CF9" i="10"/>
  <c r="CH9" i="10"/>
  <c r="CD9" i="10"/>
  <c r="CP7" i="10"/>
  <c r="CP6" i="10"/>
  <c r="CL30" i="10"/>
  <c r="CF5" i="10"/>
  <c r="CL5" i="10"/>
  <c r="CH5" i="10"/>
  <c r="BZ15" i="10"/>
  <c r="BZ14" i="10"/>
  <c r="BV30" i="10"/>
  <c r="BR30" i="10"/>
  <c r="EJ15" i="10"/>
  <c r="DZ27" i="10"/>
  <c r="DZ41" i="10"/>
  <c r="EB41" i="10"/>
  <c r="ED41" i="10"/>
  <c r="EF41" i="10"/>
  <c r="EH41" i="10"/>
  <c r="CX18" i="10" l="1"/>
  <c r="CX21" i="10" s="1"/>
  <c r="CH18" i="10"/>
  <c r="CH21" i="10" s="1"/>
  <c r="CL18" i="10"/>
  <c r="CL21" i="10" s="1"/>
  <c r="CF18" i="10"/>
  <c r="CF21" i="10" s="1"/>
  <c r="CX44" i="10"/>
  <c r="CX47" i="10" s="1"/>
  <c r="EJ7" i="10"/>
  <c r="EJ12" i="10"/>
  <c r="EB5" i="10"/>
  <c r="EJ41" i="10"/>
  <c r="EJ19" i="10"/>
  <c r="DN18" i="10"/>
  <c r="DN21" i="10" s="1"/>
  <c r="EJ11" i="10"/>
  <c r="EJ6" i="10"/>
  <c r="EJ14" i="10"/>
  <c r="EJ16" i="10"/>
  <c r="EH9" i="10"/>
  <c r="EH5" i="10"/>
  <c r="EJ13" i="10"/>
  <c r="EF5" i="10"/>
  <c r="ED9" i="10"/>
  <c r="ED5" i="10"/>
  <c r="EB9" i="10"/>
  <c r="DZ9" i="10"/>
  <c r="DZ5" i="10"/>
  <c r="DN44" i="10"/>
  <c r="DN47" i="10" s="1"/>
  <c r="CH30" i="10"/>
  <c r="CP40" i="10"/>
  <c r="BZ41" i="10"/>
  <c r="BZ40" i="10"/>
  <c r="CN5" i="10"/>
  <c r="CN9" i="10"/>
  <c r="CP9" i="10" s="1"/>
  <c r="BR35" i="10"/>
  <c r="BR44" i="10" s="1"/>
  <c r="BR47" i="10" s="1"/>
  <c r="CP19" i="10"/>
  <c r="BR5" i="10"/>
  <c r="BR9" i="10"/>
  <c r="BV5" i="10"/>
  <c r="EJ10" i="10"/>
  <c r="EF9" i="10"/>
  <c r="EB18" i="10" l="1"/>
  <c r="EB21" i="10" s="1"/>
  <c r="EB23" i="10" s="1"/>
  <c r="EH18" i="10"/>
  <c r="EH21" i="10" s="1"/>
  <c r="DZ18" i="10"/>
  <c r="DZ21" i="10" s="1"/>
  <c r="DZ23" i="10" s="1"/>
  <c r="EF18" i="10"/>
  <c r="EF21" i="10" s="1"/>
  <c r="ED18" i="10"/>
  <c r="ED21" i="10" s="1"/>
  <c r="CN18" i="10"/>
  <c r="CN21" i="10" s="1"/>
  <c r="EJ5" i="10"/>
  <c r="EJ9" i="10"/>
  <c r="CH35" i="10"/>
  <c r="CH44" i="10" s="1"/>
  <c r="CH47" i="10" s="1"/>
  <c r="BR18" i="10"/>
  <c r="BR21" i="10" s="1"/>
  <c r="EJ23" i="10" l="1"/>
  <c r="EJ18" i="10"/>
  <c r="EJ21" i="10" s="1"/>
  <c r="EV41" i="10" l="1"/>
  <c r="ET41" i="10"/>
  <c r="ER41" i="10"/>
  <c r="EP41" i="10"/>
  <c r="EN41" i="10"/>
  <c r="ED45" i="10"/>
  <c r="EF40" i="10"/>
  <c r="EF37" i="10"/>
  <c r="EF36" i="10"/>
  <c r="ED42" i="10"/>
  <c r="ED40" i="10"/>
  <c r="ED39" i="10"/>
  <c r="ED38" i="10"/>
  <c r="ED37" i="10"/>
  <c r="ED36" i="10"/>
  <c r="EB42" i="10"/>
  <c r="EB40" i="10"/>
  <c r="EB39" i="10"/>
  <c r="DZ42" i="10"/>
  <c r="DZ40" i="10"/>
  <c r="DZ39" i="10"/>
  <c r="EH32" i="10"/>
  <c r="EH31" i="10"/>
  <c r="EF33" i="10"/>
  <c r="EF32" i="10"/>
  <c r="EF31" i="10"/>
  <c r="ED33" i="10"/>
  <c r="ED32" i="10"/>
  <c r="ED31" i="10"/>
  <c r="EB33" i="10"/>
  <c r="EB32" i="10"/>
  <c r="DZ33" i="10"/>
  <c r="ED35" i="10" l="1"/>
  <c r="ED30" i="10"/>
  <c r="EF30" i="10"/>
  <c r="ED44" i="10" l="1"/>
  <c r="ED47" i="10" s="1"/>
  <c r="FL15" i="10" l="1"/>
  <c r="EP42" i="10"/>
  <c r="EN42" i="10"/>
  <c r="ER42" i="10"/>
  <c r="FF50" i="10" l="1"/>
  <c r="ER45" i="10"/>
  <c r="ER40" i="10"/>
  <c r="ER39" i="10"/>
  <c r="ER38" i="10"/>
  <c r="ER37" i="10"/>
  <c r="ER36" i="10"/>
  <c r="EP40" i="10"/>
  <c r="EP39" i="10"/>
  <c r="EN40" i="10"/>
  <c r="EN39" i="10"/>
  <c r="EV32" i="10"/>
  <c r="EV31" i="10"/>
  <c r="ET32" i="10"/>
  <c r="ET31" i="10"/>
  <c r="ER33" i="10"/>
  <c r="ER32" i="10"/>
  <c r="ER31" i="10"/>
  <c r="EP33" i="10"/>
  <c r="EP32" i="10"/>
  <c r="EN33" i="10"/>
  <c r="FF45" i="10" l="1"/>
  <c r="FR42" i="10" l="1"/>
  <c r="FD42" i="10"/>
  <c r="FT31" i="10"/>
  <c r="FF31" i="10"/>
  <c r="FP39" i="10"/>
  <c r="FB39" i="10"/>
  <c r="FT36" i="10"/>
  <c r="FF36" i="10"/>
  <c r="FV37" i="10"/>
  <c r="FT33" i="10"/>
  <c r="FF33" i="10"/>
  <c r="FP41" i="10"/>
  <c r="FB41" i="10"/>
  <c r="FT38" i="10"/>
  <c r="FF38" i="10"/>
  <c r="FV41" i="10"/>
  <c r="FP40" i="10"/>
  <c r="FB40" i="10"/>
  <c r="FV31" i="10"/>
  <c r="FH31" i="10"/>
  <c r="FT39" i="10"/>
  <c r="FF39" i="10"/>
  <c r="FX41" i="10"/>
  <c r="FJ41" i="10"/>
  <c r="FR33" i="10"/>
  <c r="FD33" i="10"/>
  <c r="FV36" i="10"/>
  <c r="FT32" i="10"/>
  <c r="FF32" i="10"/>
  <c r="FP42" i="10"/>
  <c r="FB42" i="10"/>
  <c r="FV32" i="10"/>
  <c r="FH32" i="10"/>
  <c r="FR39" i="10"/>
  <c r="FD39" i="10"/>
  <c r="FT40" i="10"/>
  <c r="FF40" i="10"/>
  <c r="FX42" i="10"/>
  <c r="FJ42" i="10"/>
  <c r="FT37" i="10"/>
  <c r="FF37" i="10"/>
  <c r="FP33" i="10"/>
  <c r="FB33" i="10"/>
  <c r="FV33" i="10"/>
  <c r="FR40" i="10"/>
  <c r="FD40" i="10"/>
  <c r="FT41" i="10"/>
  <c r="FF41" i="10"/>
  <c r="FX32" i="10"/>
  <c r="FJ32" i="10"/>
  <c r="FV40" i="10"/>
  <c r="FR32" i="10"/>
  <c r="FD32" i="10"/>
  <c r="FX31" i="10"/>
  <c r="FJ31" i="10"/>
  <c r="FR41" i="10"/>
  <c r="FD41" i="10"/>
  <c r="FT42" i="10"/>
  <c r="FF42" i="10"/>
  <c r="FT50" i="10" l="1"/>
  <c r="FZ41" i="10"/>
  <c r="FP27" i="10"/>
  <c r="FB27" i="10"/>
  <c r="EN27" i="10"/>
  <c r="FT45" i="10"/>
  <c r="FZ15" i="10"/>
  <c r="EX15" i="10"/>
  <c r="EX41" i="10"/>
  <c r="FF35" i="10"/>
  <c r="ER35" i="10"/>
  <c r="FT9" i="10"/>
  <c r="FF9" i="10"/>
  <c r="ER9" i="10"/>
  <c r="FF5" i="10"/>
  <c r="FT5" i="10"/>
  <c r="ET5" i="10"/>
  <c r="ER5" i="10"/>
  <c r="ER18" i="10" l="1"/>
  <c r="ER21" i="10" s="1"/>
  <c r="FF18" i="10"/>
  <c r="FF21" i="10" s="1"/>
  <c r="FT18" i="10"/>
  <c r="FT21" i="10" s="1"/>
  <c r="FT35" i="10"/>
  <c r="FT30" i="10"/>
  <c r="FV30" i="10"/>
  <c r="FF30" i="10"/>
  <c r="FF44" i="10" s="1"/>
  <c r="FF47" i="10" s="1"/>
  <c r="ER30" i="10"/>
  <c r="ER44" i="10" s="1"/>
  <c r="ER47" i="10" s="1"/>
  <c r="FV5" i="10"/>
  <c r="FL6" i="10"/>
  <c r="FT44" i="10" l="1"/>
  <c r="FT47" i="10" s="1"/>
  <c r="GH45" i="10" l="1"/>
  <c r="GL42" i="10"/>
  <c r="GL41" i="10"/>
  <c r="GJ40" i="10"/>
  <c r="GJ37" i="10"/>
  <c r="GJ36" i="10"/>
  <c r="GH42" i="10"/>
  <c r="GH41" i="10"/>
  <c r="GH40" i="10"/>
  <c r="GH39" i="10"/>
  <c r="GH38" i="10"/>
  <c r="GH37" i="10"/>
  <c r="GH36" i="10"/>
  <c r="GF42" i="10"/>
  <c r="GF41" i="10"/>
  <c r="GF40" i="10"/>
  <c r="GF39" i="10"/>
  <c r="GD42" i="10"/>
  <c r="GD41" i="10"/>
  <c r="GD40" i="10"/>
  <c r="GD39" i="10"/>
  <c r="GL32" i="10"/>
  <c r="GL31" i="10"/>
  <c r="GJ33" i="10"/>
  <c r="GJ32" i="10"/>
  <c r="GJ31" i="10"/>
  <c r="GH33" i="10"/>
  <c r="GH32" i="10"/>
  <c r="GH31" i="10"/>
  <c r="GF33" i="10"/>
  <c r="GF32" i="10"/>
  <c r="GD33" i="10"/>
  <c r="HJ50" i="10" l="1"/>
  <c r="GV45" i="10"/>
  <c r="GR45" i="10"/>
  <c r="GV42" i="10"/>
  <c r="GV40" i="10"/>
  <c r="GV39" i="10"/>
  <c r="GV38" i="10"/>
  <c r="GV37" i="10"/>
  <c r="GV36" i="10"/>
  <c r="GT42" i="10"/>
  <c r="GT40" i="10"/>
  <c r="GT39" i="10"/>
  <c r="GR42" i="10"/>
  <c r="GR40" i="10"/>
  <c r="GR39" i="10"/>
  <c r="GZ32" i="10"/>
  <c r="GZ31" i="10"/>
  <c r="GX32" i="10"/>
  <c r="GX31" i="10"/>
  <c r="GV33" i="10"/>
  <c r="GV32" i="10"/>
  <c r="GV31" i="10"/>
  <c r="GT33" i="10"/>
  <c r="GT32" i="10"/>
  <c r="GR33" i="10"/>
  <c r="HJ41" i="10" l="1"/>
  <c r="GV41" i="10"/>
  <c r="HN41" i="10"/>
  <c r="GZ41" i="10"/>
  <c r="HH41" i="10"/>
  <c r="GT41" i="10"/>
  <c r="HF41" i="10"/>
  <c r="GR41" i="10"/>
  <c r="GX36" i="10"/>
  <c r="GX40" i="10" l="1"/>
  <c r="GX37" i="10"/>
  <c r="GX33" i="10" l="1"/>
  <c r="HJ45" i="10" l="1"/>
  <c r="HF45" i="10"/>
  <c r="HL40" i="10"/>
  <c r="HL37" i="10"/>
  <c r="HL36" i="10"/>
  <c r="HJ42" i="10"/>
  <c r="HJ40" i="10"/>
  <c r="HJ39" i="10"/>
  <c r="HJ38" i="10"/>
  <c r="HJ37" i="10"/>
  <c r="HJ36" i="10"/>
  <c r="HH42" i="10"/>
  <c r="HH40" i="10"/>
  <c r="HH39" i="10"/>
  <c r="HF42" i="10"/>
  <c r="HF40" i="10"/>
  <c r="HF39" i="10"/>
  <c r="HN32" i="10"/>
  <c r="HN31" i="10"/>
  <c r="HL33" i="10"/>
  <c r="HL32" i="10"/>
  <c r="HL31" i="10"/>
  <c r="HJ33" i="10"/>
  <c r="HJ32" i="10"/>
  <c r="HJ31" i="10"/>
  <c r="HH33" i="10"/>
  <c r="HH32" i="10"/>
  <c r="HF33" i="10"/>
  <c r="HF32" i="10"/>
  <c r="HX50" i="10" l="1"/>
  <c r="HV45" i="10"/>
  <c r="HT45" i="10"/>
  <c r="IB41" i="10"/>
  <c r="HZ41" i="10"/>
  <c r="HX41" i="10"/>
  <c r="HV41" i="10"/>
  <c r="HT41" i="10"/>
  <c r="HV40" i="10"/>
  <c r="HT40" i="10"/>
  <c r="HV39" i="10"/>
  <c r="HT39" i="10"/>
  <c r="HV38" i="10"/>
  <c r="HT38" i="10"/>
  <c r="HV37" i="10"/>
  <c r="HT37" i="10"/>
  <c r="HV36" i="10"/>
  <c r="HT36" i="10"/>
  <c r="GV35" i="10"/>
  <c r="GH35" i="10"/>
  <c r="HX33" i="10"/>
  <c r="HV33" i="10"/>
  <c r="HT33" i="10"/>
  <c r="HT32" i="10"/>
  <c r="HP32" i="10"/>
  <c r="HX31" i="10"/>
  <c r="HV31" i="10"/>
  <c r="HT31" i="10"/>
  <c r="GJ30" i="10"/>
  <c r="GH30" i="10"/>
  <c r="HT27" i="10"/>
  <c r="HF27" i="10"/>
  <c r="GR27" i="10"/>
  <c r="GD27" i="10"/>
  <c r="IB45" i="10"/>
  <c r="HZ45" i="10"/>
  <c r="HX45" i="10"/>
  <c r="ID19" i="10"/>
  <c r="IB42" i="10"/>
  <c r="HZ42" i="10"/>
  <c r="HX42" i="10"/>
  <c r="HV42" i="10"/>
  <c r="ID16" i="10"/>
  <c r="ID15" i="10"/>
  <c r="ID14" i="10"/>
  <c r="IB40" i="10"/>
  <c r="HZ40" i="10"/>
  <c r="HX40" i="10"/>
  <c r="ID13" i="10"/>
  <c r="IB39" i="10"/>
  <c r="HZ39" i="10"/>
  <c r="HX39" i="10"/>
  <c r="ID12" i="10"/>
  <c r="IB38" i="10"/>
  <c r="HZ38" i="10"/>
  <c r="HX38" i="10"/>
  <c r="ID11" i="10"/>
  <c r="IB37" i="10"/>
  <c r="HZ37" i="10"/>
  <c r="HX37" i="10"/>
  <c r="ID10" i="10"/>
  <c r="IB36" i="10"/>
  <c r="HZ36" i="10"/>
  <c r="HX36" i="10"/>
  <c r="HV9" i="10"/>
  <c r="HT9" i="10"/>
  <c r="GV9" i="10"/>
  <c r="GH9" i="10"/>
  <c r="ID7" i="10"/>
  <c r="IB33" i="10"/>
  <c r="HZ33" i="10"/>
  <c r="ID6" i="10"/>
  <c r="IB32" i="10"/>
  <c r="HZ32" i="10"/>
  <c r="HX32" i="10"/>
  <c r="HV32" i="10"/>
  <c r="HP6" i="10"/>
  <c r="IB31" i="10"/>
  <c r="HZ31" i="10"/>
  <c r="HX5" i="10"/>
  <c r="HJ30" i="10"/>
  <c r="GV5" i="10"/>
  <c r="GJ5" i="10"/>
  <c r="HZ5" i="10"/>
  <c r="HV5" i="10"/>
  <c r="HT5" i="10"/>
  <c r="GX5" i="10"/>
  <c r="GH5" i="10"/>
  <c r="GH18" i="10" l="1"/>
  <c r="GH21" i="10" s="1"/>
  <c r="HZ30" i="10"/>
  <c r="IR19" i="10"/>
  <c r="ID41" i="10"/>
  <c r="HV18" i="10"/>
  <c r="HV21" i="10" s="1"/>
  <c r="HV23" i="10" s="1"/>
  <c r="HV50" i="10" s="1"/>
  <c r="HT18" i="10"/>
  <c r="HT21" i="10" s="1"/>
  <c r="HT23" i="10" s="1"/>
  <c r="HT50" i="10" s="1"/>
  <c r="HX30" i="10"/>
  <c r="HV30" i="10"/>
  <c r="ID45" i="10"/>
  <c r="ID38" i="10"/>
  <c r="HZ35" i="10"/>
  <c r="ID36" i="10"/>
  <c r="HX35" i="10"/>
  <c r="ID39" i="10"/>
  <c r="HV35" i="10"/>
  <c r="ID40" i="10"/>
  <c r="IB35" i="10"/>
  <c r="ID37" i="10"/>
  <c r="ID33" i="10"/>
  <c r="ID31" i="10"/>
  <c r="IB30" i="10"/>
  <c r="ID32" i="10"/>
  <c r="GV18" i="10"/>
  <c r="GV21" i="10" s="1"/>
  <c r="GH44" i="10"/>
  <c r="HT42" i="10"/>
  <c r="ID42" i="10" s="1"/>
  <c r="IB5" i="10"/>
  <c r="HX9" i="10"/>
  <c r="HX18" i="10" s="1"/>
  <c r="HX21" i="10" s="1"/>
  <c r="HJ35" i="10"/>
  <c r="HJ44" i="10" s="1"/>
  <c r="HJ47" i="10" s="1"/>
  <c r="HT30" i="10"/>
  <c r="IB9" i="10"/>
  <c r="HL30" i="10"/>
  <c r="GX30" i="10"/>
  <c r="HL5" i="10"/>
  <c r="HZ9" i="10"/>
  <c r="HZ18" i="10" s="1"/>
  <c r="HZ21" i="10" s="1"/>
  <c r="HZ23" i="10" s="1"/>
  <c r="HJ9" i="10"/>
  <c r="HJ5" i="10"/>
  <c r="GV30" i="10"/>
  <c r="GV44" i="10" s="1"/>
  <c r="GV47" i="10" s="1"/>
  <c r="HV44" i="10" l="1"/>
  <c r="HV47" i="10" s="1"/>
  <c r="HJ18" i="10"/>
  <c r="HJ21" i="10" s="1"/>
  <c r="HZ50" i="10"/>
  <c r="HX44" i="10"/>
  <c r="HX47" i="10" s="1"/>
  <c r="HZ44" i="10"/>
  <c r="HZ47" i="10" s="1"/>
  <c r="IB44" i="10"/>
  <c r="IB47" i="10" s="1"/>
  <c r="HT35" i="10"/>
  <c r="ID35" i="10" s="1"/>
  <c r="IB18" i="10"/>
  <c r="IB21" i="10" s="1"/>
  <c r="IB23" i="10" s="1"/>
  <c r="IB50" i="10" s="1"/>
  <c r="ID9" i="10"/>
  <c r="ID5" i="10"/>
  <c r="GH47" i="10"/>
  <c r="ID30" i="10"/>
  <c r="ID50" i="10" l="1"/>
  <c r="HT44" i="10"/>
  <c r="HT47" i="10" s="1"/>
  <c r="ID44" i="10"/>
  <c r="ID47" i="10" s="1"/>
  <c r="ID18" i="10"/>
  <c r="ID21" i="10" s="1"/>
  <c r="ID23" i="10"/>
  <c r="IZ50" i="10" l="1"/>
  <c r="JD41" i="10"/>
  <c r="JB41" i="10"/>
  <c r="IZ41" i="10"/>
  <c r="IX41" i="10"/>
  <c r="IV41" i="10"/>
  <c r="IP37" i="10"/>
  <c r="JF41" i="10" l="1"/>
  <c r="JN50" i="10" l="1"/>
  <c r="JD42" i="10"/>
  <c r="JB42" i="10"/>
  <c r="IZ42" i="10"/>
  <c r="IX42" i="10"/>
  <c r="IV42" i="10"/>
  <c r="JD40" i="10"/>
  <c r="JD39" i="10"/>
  <c r="JD38" i="10"/>
  <c r="JD37" i="10"/>
  <c r="JD36" i="10"/>
  <c r="JB40" i="10"/>
  <c r="JB39" i="10"/>
  <c r="JB38" i="10"/>
  <c r="JB37" i="10"/>
  <c r="JB36" i="10"/>
  <c r="IZ40" i="10"/>
  <c r="IZ39" i="10"/>
  <c r="IZ38" i="10"/>
  <c r="IZ37" i="10"/>
  <c r="IZ36" i="10"/>
  <c r="IX40" i="10"/>
  <c r="IX39" i="10"/>
  <c r="IX38" i="10"/>
  <c r="IX37" i="10"/>
  <c r="IX36" i="10"/>
  <c r="IV40" i="10"/>
  <c r="IV39" i="10"/>
  <c r="JB33" i="10"/>
  <c r="JB32" i="10"/>
  <c r="JB31" i="10"/>
  <c r="IZ33" i="10"/>
  <c r="IZ32" i="10"/>
  <c r="IZ31" i="10"/>
  <c r="IX32" i="10"/>
  <c r="IV33" i="10"/>
  <c r="IV32" i="10"/>
  <c r="IV31" i="10"/>
  <c r="JF40" i="10" l="1"/>
  <c r="JF42" i="10"/>
  <c r="JF39" i="10"/>
  <c r="KF45" i="10" l="1"/>
  <c r="JP45" i="10"/>
  <c r="KB45" i="10"/>
  <c r="JL45" i="10"/>
  <c r="JX45" i="10"/>
  <c r="JR42" i="10"/>
  <c r="JP42" i="10"/>
  <c r="JN42" i="10"/>
  <c r="JX42" i="10"/>
  <c r="KF40" i="10"/>
  <c r="KF39" i="10"/>
  <c r="KF38" i="10"/>
  <c r="KF37" i="10"/>
  <c r="JR36" i="10"/>
  <c r="KD39" i="10"/>
  <c r="JP38" i="10"/>
  <c r="JP37" i="10"/>
  <c r="JP36" i="10"/>
  <c r="KB40" i="10"/>
  <c r="KB39" i="10"/>
  <c r="JN38" i="10"/>
  <c r="KB37" i="10"/>
  <c r="JN36" i="10"/>
  <c r="JZ40" i="10"/>
  <c r="JZ39" i="10"/>
  <c r="JZ38" i="10"/>
  <c r="JZ37" i="10"/>
  <c r="JZ36" i="10"/>
  <c r="JJ40" i="10"/>
  <c r="JJ38" i="10"/>
  <c r="JJ37" i="10"/>
  <c r="JJ36" i="10"/>
  <c r="JR33" i="10"/>
  <c r="KF32" i="10"/>
  <c r="JR31" i="10"/>
  <c r="KD32" i="10"/>
  <c r="KD31" i="10"/>
  <c r="KB33" i="10"/>
  <c r="KB32" i="10"/>
  <c r="KB31" i="10"/>
  <c r="JZ33" i="10"/>
  <c r="JZ32" i="10"/>
  <c r="JZ31" i="10"/>
  <c r="JJ33" i="10"/>
  <c r="JJ31" i="10"/>
  <c r="IP42" i="10"/>
  <c r="IH31" i="10"/>
  <c r="JD45" i="10"/>
  <c r="JB45" i="10"/>
  <c r="IZ45" i="10"/>
  <c r="IX45" i="10"/>
  <c r="IV45" i="10"/>
  <c r="IV38" i="10"/>
  <c r="JF38" i="10" s="1"/>
  <c r="IV37" i="10"/>
  <c r="JF37" i="10" s="1"/>
  <c r="IV36" i="10"/>
  <c r="JF36" i="10" s="1"/>
  <c r="JD33" i="10"/>
  <c r="JD32" i="10"/>
  <c r="JD31" i="10"/>
  <c r="JR41" i="10"/>
  <c r="JP41" i="10"/>
  <c r="JP40" i="10"/>
  <c r="JN41" i="10"/>
  <c r="JN37" i="10"/>
  <c r="JL42" i="10"/>
  <c r="JL41" i="10"/>
  <c r="JJ41" i="10"/>
  <c r="JJ39" i="10"/>
  <c r="JJ32" i="10"/>
  <c r="KF41" i="10"/>
  <c r="KD41" i="10"/>
  <c r="KD40" i="10"/>
  <c r="KB41" i="10"/>
  <c r="JZ42" i="10"/>
  <c r="JZ41" i="10"/>
  <c r="JX41" i="10"/>
  <c r="JX39" i="10"/>
  <c r="JX32" i="10"/>
  <c r="KB50" i="10"/>
  <c r="JX27" i="10"/>
  <c r="KH15" i="10"/>
  <c r="JJ27" i="10"/>
  <c r="JT19" i="10"/>
  <c r="JT16" i="10"/>
  <c r="JT15" i="10"/>
  <c r="JT12" i="10"/>
  <c r="JT11" i="10"/>
  <c r="JR9" i="10"/>
  <c r="JP9" i="10"/>
  <c r="JR5" i="10"/>
  <c r="JN5" i="10"/>
  <c r="KL41" i="10"/>
  <c r="IV27" i="10"/>
  <c r="JF19" i="10"/>
  <c r="JF16" i="10"/>
  <c r="JF15" i="10"/>
  <c r="JF14" i="10"/>
  <c r="JF13" i="10"/>
  <c r="IP38" i="10"/>
  <c r="IH38" i="10"/>
  <c r="JF11" i="10"/>
  <c r="JF10" i="10"/>
  <c r="IZ9" i="10"/>
  <c r="JF7" i="10"/>
  <c r="IH33" i="10"/>
  <c r="JB5" i="10"/>
  <c r="IZ5" i="10"/>
  <c r="JD5" i="10"/>
  <c r="IL50" i="10"/>
  <c r="IP41" i="10"/>
  <c r="IN41" i="10"/>
  <c r="IL41" i="10"/>
  <c r="IJ41" i="10"/>
  <c r="IH41" i="10"/>
  <c r="IJ39" i="10"/>
  <c r="IH39" i="10"/>
  <c r="IP36" i="10"/>
  <c r="IP31" i="10"/>
  <c r="IN31" i="10"/>
  <c r="IL31" i="10"/>
  <c r="IH27" i="10"/>
  <c r="IN42" i="10"/>
  <c r="IL42" i="10"/>
  <c r="IJ42" i="10"/>
  <c r="IR16" i="10"/>
  <c r="IR15" i="10"/>
  <c r="IR14" i="10"/>
  <c r="IN40" i="10"/>
  <c r="IL40" i="10"/>
  <c r="IJ40" i="10"/>
  <c r="IH40" i="10"/>
  <c r="IR13" i="10"/>
  <c r="IP39" i="10"/>
  <c r="IL39" i="10"/>
  <c r="IR12" i="10"/>
  <c r="IR11" i="10"/>
  <c r="IR10" i="10"/>
  <c r="IP9" i="10"/>
  <c r="IN36" i="10"/>
  <c r="IL9" i="10"/>
  <c r="IH9" i="10"/>
  <c r="IJ9" i="10"/>
  <c r="IR7" i="10"/>
  <c r="IP32" i="10"/>
  <c r="IL32" i="10"/>
  <c r="IR6" i="10"/>
  <c r="IL5" i="10"/>
  <c r="IH5" i="10"/>
  <c r="IP5" i="10"/>
  <c r="IN5" i="10"/>
  <c r="KD5" i="10" l="1"/>
  <c r="JP32" i="10"/>
  <c r="JX37" i="10"/>
  <c r="KB36" i="10"/>
  <c r="JP31" i="10"/>
  <c r="JP39" i="10"/>
  <c r="JP35" i="10" s="1"/>
  <c r="JX38" i="10"/>
  <c r="IZ18" i="10"/>
  <c r="IZ21" i="10" s="1"/>
  <c r="IZ30" i="10"/>
  <c r="KD36" i="10"/>
  <c r="JR38" i="10"/>
  <c r="JL32" i="10"/>
  <c r="IX35" i="10"/>
  <c r="IZ35" i="10"/>
  <c r="JR18" i="10"/>
  <c r="JR21" i="10" s="1"/>
  <c r="JR23" i="10" s="1"/>
  <c r="KB42" i="10"/>
  <c r="JJ42" i="10"/>
  <c r="JX31" i="10"/>
  <c r="JR37" i="10"/>
  <c r="JP33" i="10"/>
  <c r="JR39" i="10"/>
  <c r="KD33" i="10"/>
  <c r="KD30" i="10" s="1"/>
  <c r="JR40" i="10"/>
  <c r="KB38" i="10"/>
  <c r="JL36" i="10"/>
  <c r="KF33" i="10"/>
  <c r="JL37" i="10"/>
  <c r="KD42" i="10"/>
  <c r="JX36" i="10"/>
  <c r="KD38" i="10"/>
  <c r="JN40" i="10"/>
  <c r="JN33" i="10"/>
  <c r="KF31" i="10"/>
  <c r="KF42" i="10"/>
  <c r="JR32" i="10"/>
  <c r="KD37" i="10"/>
  <c r="JN39" i="10"/>
  <c r="JZ45" i="10"/>
  <c r="KD9" i="10"/>
  <c r="KD18" i="10" s="1"/>
  <c r="KD21" i="10" s="1"/>
  <c r="KD23" i="10" s="1"/>
  <c r="KD50" i="10" s="1"/>
  <c r="KD45" i="10"/>
  <c r="JL38" i="10"/>
  <c r="KH7" i="10"/>
  <c r="JL39" i="10"/>
  <c r="JN45" i="10"/>
  <c r="KF5" i="10"/>
  <c r="JL40" i="10"/>
  <c r="KH14" i="10"/>
  <c r="JR45" i="10"/>
  <c r="JJ45" i="10"/>
  <c r="KH19" i="10"/>
  <c r="KF9" i="10"/>
  <c r="KH16" i="10"/>
  <c r="KF36" i="10"/>
  <c r="KH10" i="10"/>
  <c r="KH12" i="10"/>
  <c r="JX40" i="10"/>
  <c r="JX33" i="10"/>
  <c r="KB5" i="10"/>
  <c r="JN31" i="10"/>
  <c r="JN32" i="10"/>
  <c r="IL18" i="10"/>
  <c r="IL21" i="10" s="1"/>
  <c r="JB35" i="10"/>
  <c r="JB30" i="10"/>
  <c r="IJ31" i="10"/>
  <c r="IR31" i="10" s="1"/>
  <c r="IN9" i="10"/>
  <c r="IN18" i="10" s="1"/>
  <c r="IN21" i="10" s="1"/>
  <c r="IN23" i="10" s="1"/>
  <c r="JD9" i="10"/>
  <c r="JD18" i="10" s="1"/>
  <c r="JD21" i="10" s="1"/>
  <c r="JD23" i="10" s="1"/>
  <c r="IH36" i="10"/>
  <c r="JF12" i="10"/>
  <c r="JP5" i="10"/>
  <c r="JP18" i="10" s="1"/>
  <c r="JP21" i="10" s="1"/>
  <c r="JP23" i="10" s="1"/>
  <c r="KH13" i="10"/>
  <c r="IJ38" i="10"/>
  <c r="IH45" i="10"/>
  <c r="IN32" i="10"/>
  <c r="IL38" i="10"/>
  <c r="IJ45" i="10"/>
  <c r="JB9" i="10"/>
  <c r="JB18" i="10" s="1"/>
  <c r="JB21" i="10" s="1"/>
  <c r="JB23" i="10" s="1"/>
  <c r="IJ5" i="10"/>
  <c r="IJ18" i="10" s="1"/>
  <c r="IJ21" i="10" s="1"/>
  <c r="IJ23" i="10" s="1"/>
  <c r="IL36" i="10"/>
  <c r="IP40" i="10"/>
  <c r="IR40" i="10" s="1"/>
  <c r="IP18" i="10"/>
  <c r="IP21" i="10" s="1"/>
  <c r="IP23" i="10" s="1"/>
  <c r="IN38" i="10"/>
  <c r="KB9" i="10"/>
  <c r="JD35" i="10"/>
  <c r="JN9" i="10"/>
  <c r="JN18" i="10" s="1"/>
  <c r="JN21" i="10" s="1"/>
  <c r="JT13" i="10"/>
  <c r="JF45" i="10"/>
  <c r="JX5" i="10"/>
  <c r="JX9" i="10"/>
  <c r="JZ5" i="10"/>
  <c r="KH6" i="10"/>
  <c r="JF32" i="10" s="1"/>
  <c r="JZ9" i="10"/>
  <c r="KH11" i="10"/>
  <c r="JT10" i="10"/>
  <c r="JT14" i="10"/>
  <c r="JJ5" i="10"/>
  <c r="JJ9" i="10"/>
  <c r="JT6" i="10"/>
  <c r="JL9" i="10"/>
  <c r="KL5" i="10"/>
  <c r="KL9" i="10"/>
  <c r="JD30" i="10"/>
  <c r="IR41" i="10"/>
  <c r="IJ33" i="10"/>
  <c r="IL37" i="10"/>
  <c r="IL33" i="10"/>
  <c r="IL30" i="10" s="1"/>
  <c r="IJ36" i="10"/>
  <c r="IN37" i="10"/>
  <c r="IV5" i="10"/>
  <c r="IV9" i="10"/>
  <c r="IJ37" i="10"/>
  <c r="IN33" i="10"/>
  <c r="IP33" i="10"/>
  <c r="IP30" i="10" s="1"/>
  <c r="IX5" i="10"/>
  <c r="JF6" i="10"/>
  <c r="IX9" i="10"/>
  <c r="IN45" i="10"/>
  <c r="IP45" i="10"/>
  <c r="IJ32" i="10"/>
  <c r="IN39" i="10"/>
  <c r="IR39" i="10" s="1"/>
  <c r="IH18" i="10"/>
  <c r="IH21" i="10" s="1"/>
  <c r="IH23" i="10" s="1"/>
  <c r="IL45" i="10"/>
  <c r="IH42" i="10"/>
  <c r="IR42" i="10" s="1"/>
  <c r="IH32" i="10"/>
  <c r="IH30" i="10" s="1"/>
  <c r="IH37" i="10"/>
  <c r="JP30" i="10" l="1"/>
  <c r="JD50" i="10"/>
  <c r="IN50" i="10"/>
  <c r="JB50" i="10"/>
  <c r="JF9" i="10"/>
  <c r="IR38" i="10"/>
  <c r="JP50" i="10"/>
  <c r="JB44" i="10"/>
  <c r="JB47" i="10" s="1"/>
  <c r="IZ44" i="10"/>
  <c r="IZ47" i="10" s="1"/>
  <c r="IR5" i="10"/>
  <c r="KL18" i="10"/>
  <c r="KL21" i="10" s="1"/>
  <c r="KL23" i="10" s="1"/>
  <c r="IL35" i="10"/>
  <c r="IL44" i="10" s="1"/>
  <c r="IL47" i="10" s="1"/>
  <c r="IR33" i="10"/>
  <c r="IP35" i="10"/>
  <c r="IP44" i="10" s="1"/>
  <c r="IP47" i="10" s="1"/>
  <c r="IN35" i="10"/>
  <c r="IN30" i="10"/>
  <c r="IR37" i="10"/>
  <c r="IJ35" i="10"/>
  <c r="KD35" i="10"/>
  <c r="KD44" i="10" s="1"/>
  <c r="KD47" i="10" s="1"/>
  <c r="KF18" i="10"/>
  <c r="KF21" i="10" s="1"/>
  <c r="KF23" i="10" s="1"/>
  <c r="KF50" i="10" s="1"/>
  <c r="JP44" i="10"/>
  <c r="JP47" i="10" s="1"/>
  <c r="KH9" i="10"/>
  <c r="KB18" i="10"/>
  <c r="KB21" i="10" s="1"/>
  <c r="IR45" i="10"/>
  <c r="IR9" i="10"/>
  <c r="IR36" i="10"/>
  <c r="IP50" i="10"/>
  <c r="IJ30" i="10"/>
  <c r="IR32" i="10"/>
  <c r="JD44" i="10"/>
  <c r="JD47" i="10" s="1"/>
  <c r="IV35" i="10"/>
  <c r="JF35" i="10" s="1"/>
  <c r="JT9" i="10"/>
  <c r="IX18" i="10"/>
  <c r="IX21" i="10" s="1"/>
  <c r="IX23" i="10" s="1"/>
  <c r="IH35" i="10"/>
  <c r="JZ18" i="10"/>
  <c r="JZ21" i="10" s="1"/>
  <c r="JZ23" i="10" s="1"/>
  <c r="JZ50" i="10" s="1"/>
  <c r="KH5" i="10"/>
  <c r="JX18" i="10"/>
  <c r="JX21" i="10" s="1"/>
  <c r="JX23" i="10" s="1"/>
  <c r="JX50" i="10" s="1"/>
  <c r="JJ18" i="10"/>
  <c r="JJ21" i="10" s="1"/>
  <c r="JJ23" i="10" s="1"/>
  <c r="JF5" i="10"/>
  <c r="IV18" i="10"/>
  <c r="IV21" i="10" s="1"/>
  <c r="IV23" i="10" s="1"/>
  <c r="IV30" i="10"/>
  <c r="IR23" i="10"/>
  <c r="IR30" i="10" l="1"/>
  <c r="JJ50" i="10"/>
  <c r="IV50" i="10"/>
  <c r="IR18" i="10"/>
  <c r="IR21" i="10" s="1"/>
  <c r="JF18" i="10"/>
  <c r="JF21" i="10" s="1"/>
  <c r="IN44" i="10"/>
  <c r="IN47" i="10" s="1"/>
  <c r="JR50" i="10"/>
  <c r="IJ44" i="10"/>
  <c r="IJ47" i="10" s="1"/>
  <c r="IR35" i="10"/>
  <c r="KH18" i="10"/>
  <c r="KH21" i="10" s="1"/>
  <c r="IJ50" i="10"/>
  <c r="IH44" i="10"/>
  <c r="IH47" i="10" s="1"/>
  <c r="KH23" i="10"/>
  <c r="JF23" i="10"/>
  <c r="IV44" i="10"/>
  <c r="IV47" i="10" s="1"/>
  <c r="IH50" i="10"/>
  <c r="IR44" i="10" l="1"/>
  <c r="IR47" i="10" s="1"/>
  <c r="IR50" i="10"/>
  <c r="JJ30" i="10" l="1"/>
  <c r="JJ35" i="10" l="1"/>
  <c r="JJ44" i="10" l="1"/>
  <c r="JJ47" i="10" s="1"/>
  <c r="JL35" i="10" l="1"/>
  <c r="SZ19" i="10" l="1"/>
  <c r="SU18" i="10"/>
  <c r="SU21" i="10" s="1"/>
  <c r="SZ16" i="10"/>
  <c r="SZ13" i="10"/>
  <c r="SZ12" i="10"/>
  <c r="SZ11" i="10"/>
  <c r="SZ10" i="10"/>
  <c r="SX9" i="10"/>
  <c r="SV9" i="10"/>
  <c r="ST9" i="10"/>
  <c r="SR9" i="10"/>
  <c r="SP9" i="10"/>
  <c r="SZ7" i="10"/>
  <c r="SZ6" i="10"/>
  <c r="SX5" i="10"/>
  <c r="SV5" i="10"/>
  <c r="ST5" i="10"/>
  <c r="SR5" i="10"/>
  <c r="SP5" i="10"/>
  <c r="ST18" i="10" l="1"/>
  <c r="ST21" i="10" s="1"/>
  <c r="SV18" i="10"/>
  <c r="SV21" i="10" s="1"/>
  <c r="SX18" i="10"/>
  <c r="SX21" i="10" s="1"/>
  <c r="SR18" i="10"/>
  <c r="SR21" i="10" s="1"/>
  <c r="KL36" i="10"/>
  <c r="KL38" i="10"/>
  <c r="KL31" i="10"/>
  <c r="KL45" i="10"/>
  <c r="SZ5" i="10"/>
  <c r="SZ9" i="10"/>
  <c r="KL33" i="10"/>
  <c r="KL42" i="10"/>
  <c r="KL32" i="10"/>
  <c r="KL40" i="10"/>
  <c r="KL37" i="10"/>
  <c r="JX30" i="10"/>
  <c r="KL39" i="10"/>
  <c r="SP18" i="10"/>
  <c r="SP21" i="10" s="1"/>
  <c r="KL30" i="10" l="1"/>
  <c r="KL35" i="10"/>
  <c r="JR35" i="10"/>
  <c r="JR30" i="10"/>
  <c r="SZ18" i="10"/>
  <c r="SZ21" i="10" s="1"/>
  <c r="KL44" i="10" l="1"/>
  <c r="KL47" i="10" s="1"/>
  <c r="JR44" i="10"/>
  <c r="JR47" i="10" s="1"/>
  <c r="LX15" i="10" l="1"/>
  <c r="KF30" i="10"/>
  <c r="LX14" i="10" l="1"/>
  <c r="KF35" i="10"/>
  <c r="KF44" i="10" s="1"/>
  <c r="KF47" i="10" s="1"/>
  <c r="LX11" i="10"/>
  <c r="LX12" i="10"/>
  <c r="LX10" i="10"/>
  <c r="LX13" i="10"/>
  <c r="LX16" i="10"/>
  <c r="OI41" i="10" l="1"/>
  <c r="OG41" i="10"/>
  <c r="OG39" i="10"/>
  <c r="OG38" i="10"/>
  <c r="OG37" i="10"/>
  <c r="OG36" i="10"/>
  <c r="OG33" i="10"/>
  <c r="OG32" i="10"/>
  <c r="OG31" i="10"/>
  <c r="OI42" i="10"/>
  <c r="OI40" i="10"/>
  <c r="OI38" i="10"/>
  <c r="OI37" i="10"/>
  <c r="OI36" i="10"/>
  <c r="OG45" i="10"/>
  <c r="OK40" i="10" l="1"/>
  <c r="MI41" i="10"/>
  <c r="MG41" i="10"/>
  <c r="ME41" i="10"/>
  <c r="MC41" i="10"/>
  <c r="MA41" i="10"/>
  <c r="MI34" i="10"/>
  <c r="MK15" i="10"/>
  <c r="MG45" i="10"/>
  <c r="ME45" i="10"/>
  <c r="MA45" i="10"/>
  <c r="MI42" i="10"/>
  <c r="ME42" i="10"/>
  <c r="MC42" i="10"/>
  <c r="MA42" i="10"/>
  <c r="MG40" i="10"/>
  <c r="MG38" i="10"/>
  <c r="MG37" i="10"/>
  <c r="MG36" i="10"/>
  <c r="ME40" i="10"/>
  <c r="ME39" i="10"/>
  <c r="ME38" i="10"/>
  <c r="ME37" i="10"/>
  <c r="ME36" i="10"/>
  <c r="MC40" i="10"/>
  <c r="MC39" i="10"/>
  <c r="MA40" i="10"/>
  <c r="MA39" i="10"/>
  <c r="MA38" i="10"/>
  <c r="MA37" i="10"/>
  <c r="MA36" i="10"/>
  <c r="MI32" i="10"/>
  <c r="MI31" i="10"/>
  <c r="MG33" i="10"/>
  <c r="MG32" i="10"/>
  <c r="MG31" i="10"/>
  <c r="ME33" i="10"/>
  <c r="ME32" i="10"/>
  <c r="ME31" i="10"/>
  <c r="MC33" i="10"/>
  <c r="MC32" i="10"/>
  <c r="MA33" i="10"/>
  <c r="MA32" i="10"/>
  <c r="MK41" i="10" l="1"/>
  <c r="MK32" i="10"/>
  <c r="KP50" i="10" l="1"/>
  <c r="LF45" i="10"/>
  <c r="LD45" i="10"/>
  <c r="LV42" i="10"/>
  <c r="LT41" i="10"/>
  <c r="LR41" i="10"/>
  <c r="LJ41" i="10"/>
  <c r="LF40" i="10"/>
  <c r="KN40" i="10"/>
  <c r="LD39" i="10"/>
  <c r="KP38" i="10"/>
  <c r="LR37" i="10"/>
  <c r="LF37" i="10"/>
  <c r="LD37" i="10"/>
  <c r="KZ37" i="10"/>
  <c r="LT36" i="10"/>
  <c r="LD36" i="10"/>
  <c r="ME35" i="10"/>
  <c r="LN33" i="10"/>
  <c r="KT32" i="10"/>
  <c r="KR32" i="10"/>
  <c r="MA31" i="10"/>
  <c r="LN31" i="10"/>
  <c r="LH31" i="10"/>
  <c r="KP31" i="10"/>
  <c r="ME30" i="10"/>
  <c r="MA27" i="10"/>
  <c r="LN27" i="10"/>
  <c r="KZ27" i="10"/>
  <c r="KL27" i="10"/>
  <c r="LD50" i="10"/>
  <c r="LR45" i="10"/>
  <c r="KP45" i="10"/>
  <c r="LB45" i="10"/>
  <c r="KV19" i="10"/>
  <c r="JT45" i="10" s="1"/>
  <c r="KR45" i="10"/>
  <c r="LD42" i="10"/>
  <c r="LH42" i="10"/>
  <c r="KN42" i="10"/>
  <c r="KV16" i="10"/>
  <c r="JT42" i="10" s="1"/>
  <c r="KT42" i="10"/>
  <c r="KP42" i="10"/>
  <c r="LV41" i="10"/>
  <c r="KT41" i="10"/>
  <c r="KR41" i="10"/>
  <c r="KP41" i="10"/>
  <c r="KN41" i="10"/>
  <c r="LJ15" i="10"/>
  <c r="KH41" i="10" s="1"/>
  <c r="KV15" i="10"/>
  <c r="JT41" i="10" s="1"/>
  <c r="LT40" i="10"/>
  <c r="LR40" i="10"/>
  <c r="LP40" i="10"/>
  <c r="KV14" i="10"/>
  <c r="JT40" i="10" s="1"/>
  <c r="KR40" i="10"/>
  <c r="KP40" i="10"/>
  <c r="LR39" i="10"/>
  <c r="KV13" i="10"/>
  <c r="JT39" i="10" s="1"/>
  <c r="KP39" i="10"/>
  <c r="KN39" i="10"/>
  <c r="LR38" i="10"/>
  <c r="LF38" i="10"/>
  <c r="LD38" i="10"/>
  <c r="KV12" i="10"/>
  <c r="JT38" i="10" s="1"/>
  <c r="LT37" i="10"/>
  <c r="LN37" i="10"/>
  <c r="KR37" i="10"/>
  <c r="KV11" i="10"/>
  <c r="JT37" i="10" s="1"/>
  <c r="LR36" i="10"/>
  <c r="LF36" i="10"/>
  <c r="KP36" i="10"/>
  <c r="ME9" i="10"/>
  <c r="LV9" i="10"/>
  <c r="LT9" i="10"/>
  <c r="LP9" i="10"/>
  <c r="LN9" i="10"/>
  <c r="LD9" i="10"/>
  <c r="KZ9" i="10"/>
  <c r="KR9" i="10"/>
  <c r="LX7" i="10"/>
  <c r="LT33" i="10"/>
  <c r="LR33" i="10"/>
  <c r="LP33" i="10"/>
  <c r="LB33" i="10"/>
  <c r="KV7" i="10"/>
  <c r="KR33" i="10"/>
  <c r="MK6" i="10"/>
  <c r="LR32" i="10"/>
  <c r="LP32" i="10"/>
  <c r="LX6" i="10"/>
  <c r="LH32" i="10"/>
  <c r="LF32" i="10"/>
  <c r="LD32" i="10"/>
  <c r="LJ6" i="10"/>
  <c r="KH32" i="10" s="1"/>
  <c r="KN32" i="10"/>
  <c r="MG5" i="10"/>
  <c r="LV31" i="10"/>
  <c r="LT31" i="10"/>
  <c r="LR31" i="10"/>
  <c r="KZ31" i="10"/>
  <c r="KT31" i="10"/>
  <c r="KR31" i="10"/>
  <c r="ME5" i="10"/>
  <c r="MA5" i="10"/>
  <c r="LV5" i="10"/>
  <c r="LP5" i="10"/>
  <c r="LN5" i="10"/>
  <c r="LF5" i="10"/>
  <c r="LD5" i="10"/>
  <c r="KT5" i="10"/>
  <c r="KP5" i="10"/>
  <c r="KN5" i="10"/>
  <c r="LP18" i="10" l="1"/>
  <c r="LP21" i="10" s="1"/>
  <c r="LP23" i="10" s="1"/>
  <c r="ME44" i="10"/>
  <c r="ME47" i="10" s="1"/>
  <c r="ME18" i="10"/>
  <c r="ME21" i="10" s="1"/>
  <c r="ME50" i="10" s="1"/>
  <c r="LR30" i="10"/>
  <c r="KR30" i="10"/>
  <c r="KV41" i="10"/>
  <c r="LD18" i="10"/>
  <c r="LD21" i="10" s="1"/>
  <c r="LV18" i="10"/>
  <c r="LV21" i="10" s="1"/>
  <c r="LV23" i="10" s="1"/>
  <c r="MA30" i="10"/>
  <c r="LT5" i="10"/>
  <c r="LT18" i="10" s="1"/>
  <c r="LT21" i="10" s="1"/>
  <c r="LT23" i="10" s="1"/>
  <c r="LT45" i="10"/>
  <c r="LF31" i="10"/>
  <c r="MA9" i="10"/>
  <c r="KR36" i="10"/>
  <c r="LN39" i="10"/>
  <c r="KZ40" i="10"/>
  <c r="KZ36" i="10"/>
  <c r="KN9" i="10"/>
  <c r="KN18" i="10" s="1"/>
  <c r="KN21" i="10" s="1"/>
  <c r="KN23" i="10" s="1"/>
  <c r="LP39" i="10"/>
  <c r="LB40" i="10"/>
  <c r="KZ32" i="10"/>
  <c r="KZ5" i="10"/>
  <c r="LN45" i="10"/>
  <c r="LX19" i="10"/>
  <c r="LN40" i="10"/>
  <c r="LD33" i="10"/>
  <c r="LN38" i="10"/>
  <c r="LN32" i="10"/>
  <c r="LN30" i="10" s="1"/>
  <c r="KZ42" i="10"/>
  <c r="KR5" i="10"/>
  <c r="KV5" i="10" s="1"/>
  <c r="LT32" i="10"/>
  <c r="LT30" i="10" s="1"/>
  <c r="KN33" i="10"/>
  <c r="LF33" i="10"/>
  <c r="LB39" i="10"/>
  <c r="LN42" i="10"/>
  <c r="LN18" i="10"/>
  <c r="LN21" i="10" s="1"/>
  <c r="LN23" i="10" s="1"/>
  <c r="MG30" i="10"/>
  <c r="KZ33" i="10"/>
  <c r="LB42" i="10"/>
  <c r="KN45" i="10"/>
  <c r="LR42" i="10"/>
  <c r="LR35" i="10" s="1"/>
  <c r="LR5" i="10"/>
  <c r="LD31" i="10"/>
  <c r="KP32" i="10"/>
  <c r="KV32" i="10" s="1"/>
  <c r="LN36" i="10"/>
  <c r="KV6" i="10"/>
  <c r="JT32" i="10" s="1"/>
  <c r="KP9" i="10"/>
  <c r="KP18" i="10" s="1"/>
  <c r="KP21" i="10" s="1"/>
  <c r="KR38" i="10"/>
  <c r="LT38" i="10"/>
  <c r="KZ39" i="10"/>
  <c r="LD40" i="10"/>
  <c r="LD35" i="10" s="1"/>
  <c r="LN41" i="10"/>
  <c r="KZ45" i="10"/>
  <c r="LB32" i="10"/>
  <c r="LV32" i="10"/>
  <c r="KP33" i="10"/>
  <c r="LR9" i="10"/>
  <c r="LX9" i="10" s="1"/>
  <c r="KP37" i="10"/>
  <c r="KP35" i="10" s="1"/>
  <c r="KZ38" i="10"/>
  <c r="LP42" i="10"/>
  <c r="LR50" i="10"/>
  <c r="LP41" i="10"/>
  <c r="JN30" i="10" l="1"/>
  <c r="LX5" i="10"/>
  <c r="LX18" i="10" s="1"/>
  <c r="LX21" i="10" s="1"/>
  <c r="LX23" i="10"/>
  <c r="KP30" i="10"/>
  <c r="KP44" i="10" s="1"/>
  <c r="KP47" i="10" s="1"/>
  <c r="LD30" i="10"/>
  <c r="LD44" i="10" s="1"/>
  <c r="LD47" i="10" s="1"/>
  <c r="LJ32" i="10"/>
  <c r="LR44" i="10"/>
  <c r="LR47" i="10" s="1"/>
  <c r="KR18" i="10"/>
  <c r="KR21" i="10" s="1"/>
  <c r="KR23" i="10" s="1"/>
  <c r="LF30" i="10"/>
  <c r="KZ30" i="10"/>
  <c r="LX32" i="10"/>
  <c r="MA35" i="10"/>
  <c r="LX41" i="10"/>
  <c r="LN35" i="10"/>
  <c r="LR18" i="10"/>
  <c r="LR21" i="10" s="1"/>
  <c r="KZ35" i="10"/>
  <c r="KZ18" i="10"/>
  <c r="KZ21" i="10" s="1"/>
  <c r="KZ23" i="10" s="1"/>
  <c r="MA18" i="10"/>
  <c r="MA21" i="10" s="1"/>
  <c r="MA23" i="10" s="1"/>
  <c r="LN50" i="10" s="1"/>
  <c r="MX15" i="10"/>
  <c r="KL50" i="10" l="1"/>
  <c r="KZ50" i="10"/>
  <c r="LN44" i="10"/>
  <c r="LN47" i="10" s="1"/>
  <c r="MA44" i="10"/>
  <c r="MA47" i="10" s="1"/>
  <c r="MA50" i="10" s="1"/>
  <c r="KZ44" i="10"/>
  <c r="KZ47" i="10" s="1"/>
  <c r="MX19" i="10"/>
  <c r="MX14" i="10"/>
  <c r="MX16" i="10"/>
  <c r="MR50" i="10" l="1"/>
  <c r="MV45" i="10"/>
  <c r="MT45" i="10"/>
  <c r="MR45" i="10"/>
  <c r="MP45" i="10"/>
  <c r="MN45" i="10"/>
  <c r="MV42" i="10"/>
  <c r="MV41" i="10"/>
  <c r="MV40" i="10"/>
  <c r="MV39" i="10"/>
  <c r="MV38" i="10"/>
  <c r="MV37" i="10"/>
  <c r="MV36" i="10"/>
  <c r="MT42" i="10"/>
  <c r="MT41" i="10"/>
  <c r="MT40" i="10"/>
  <c r="MT39" i="10"/>
  <c r="MT38" i="10"/>
  <c r="MT37" i="10"/>
  <c r="MT36" i="10"/>
  <c r="MR42" i="10"/>
  <c r="MR41" i="10"/>
  <c r="MR40" i="10"/>
  <c r="MR39" i="10"/>
  <c r="MR38" i="10"/>
  <c r="MR37" i="10"/>
  <c r="MR36" i="10"/>
  <c r="MP42" i="10"/>
  <c r="MP41" i="10"/>
  <c r="MP40" i="10"/>
  <c r="MP39" i="10"/>
  <c r="MP38" i="10"/>
  <c r="MP37" i="10"/>
  <c r="MP36" i="10"/>
  <c r="MN42" i="10"/>
  <c r="MN41" i="10"/>
  <c r="MN40" i="10"/>
  <c r="MN39" i="10"/>
  <c r="MN38" i="10"/>
  <c r="MN37" i="10"/>
  <c r="MN36" i="10"/>
  <c r="MV33" i="10"/>
  <c r="MV32" i="10"/>
  <c r="MV31" i="10"/>
  <c r="MT33" i="10"/>
  <c r="MT32" i="10"/>
  <c r="MT31" i="10"/>
  <c r="MR33" i="10"/>
  <c r="MR32" i="10"/>
  <c r="MR31" i="10"/>
  <c r="MP33" i="10"/>
  <c r="MP32" i="10"/>
  <c r="MP31" i="10"/>
  <c r="MN33" i="10"/>
  <c r="MN32" i="10"/>
  <c r="MN31" i="10"/>
  <c r="MX36" i="10" l="1"/>
  <c r="MX38" i="10"/>
  <c r="MX40" i="10"/>
  <c r="MX31" i="10"/>
  <c r="MX39" i="10"/>
  <c r="MX41" i="10"/>
  <c r="MX37" i="10"/>
  <c r="MX42" i="10"/>
  <c r="NL41" i="10" l="1"/>
  <c r="NL15" i="10"/>
  <c r="OR40" i="10" l="1"/>
  <c r="NT41" i="10"/>
  <c r="NF50" i="10"/>
  <c r="NJ42" i="10"/>
  <c r="ND42" i="10"/>
  <c r="NB42" i="10"/>
  <c r="NZ15" i="10"/>
  <c r="ND39" i="10"/>
  <c r="NB40" i="10"/>
  <c r="NB39" i="10"/>
  <c r="NJ32" i="10"/>
  <c r="NJ31" i="10"/>
  <c r="NH32" i="10"/>
  <c r="NH31" i="10"/>
  <c r="NR40" i="10" l="1"/>
  <c r="ND40" i="10"/>
  <c r="NT32" i="10"/>
  <c r="NF32" i="10"/>
  <c r="NX40" i="10"/>
  <c r="NT36" i="10"/>
  <c r="NF36" i="10"/>
  <c r="NV40" i="10"/>
  <c r="NH40" i="10"/>
  <c r="NT38" i="10"/>
  <c r="NF38" i="10"/>
  <c r="NT39" i="10"/>
  <c r="NF39" i="10"/>
  <c r="NT33" i="10"/>
  <c r="NF33" i="10"/>
  <c r="NT45" i="10"/>
  <c r="NT37" i="10"/>
  <c r="NF37" i="10"/>
  <c r="NT31" i="10"/>
  <c r="NF31" i="10"/>
  <c r="NZ23" i="10"/>
  <c r="OP40" i="10"/>
  <c r="OZ40" i="10" s="1"/>
  <c r="OZ14" i="10"/>
  <c r="OZ23" i="10"/>
  <c r="NZ14" i="10"/>
  <c r="NP40" i="10"/>
  <c r="NZ16" i="10"/>
  <c r="NX45" i="10" l="1"/>
  <c r="NV45" i="10"/>
  <c r="NV42" i="10"/>
  <c r="NV41" i="10"/>
  <c r="NV38" i="10"/>
  <c r="NV37" i="10"/>
  <c r="NV36" i="10"/>
  <c r="NV31" i="10" l="1"/>
  <c r="OI31" i="10"/>
  <c r="NX31" i="10"/>
  <c r="OK31" i="10"/>
  <c r="NV33" i="10"/>
  <c r="OI33" i="10"/>
  <c r="NX33" i="10"/>
  <c r="OK33" i="10"/>
  <c r="NV32" i="10"/>
  <c r="OI32" i="10"/>
  <c r="NX32" i="10"/>
  <c r="OK32" i="10"/>
  <c r="NX36" i="10"/>
  <c r="OK36" i="10"/>
  <c r="NX37" i="10"/>
  <c r="OK37" i="10"/>
  <c r="NX38" i="10"/>
  <c r="OK38" i="10"/>
  <c r="NX39" i="10"/>
  <c r="OK39" i="10"/>
  <c r="NX41" i="10"/>
  <c r="OK41" i="10"/>
  <c r="NX42" i="10"/>
  <c r="OK42" i="10"/>
  <c r="OE42" i="10"/>
  <c r="OE41" i="10"/>
  <c r="OE39" i="10"/>
  <c r="NP42" i="10"/>
  <c r="NP41" i="10"/>
  <c r="NP31" i="10"/>
  <c r="OM15" i="10" l="1"/>
  <c r="OE32" i="10"/>
  <c r="NR32" i="10"/>
  <c r="NR41" i="10"/>
  <c r="NZ41" i="10" s="1"/>
  <c r="OC36" i="10"/>
  <c r="NP36" i="10"/>
  <c r="NR42" i="10"/>
  <c r="NR39" i="10"/>
  <c r="OC37" i="10"/>
  <c r="NP37" i="10"/>
  <c r="OC33" i="10"/>
  <c r="NP33" i="10"/>
  <c r="OE33" i="10"/>
  <c r="NR33" i="10"/>
  <c r="OC31" i="10"/>
  <c r="OC38" i="10"/>
  <c r="NP38" i="10"/>
  <c r="OC45" i="10"/>
  <c r="NP45" i="10"/>
  <c r="OC32" i="10"/>
  <c r="NP32" i="10"/>
  <c r="OC39" i="10"/>
  <c r="NP39" i="10"/>
  <c r="OE45" i="10"/>
  <c r="NR45" i="10"/>
  <c r="OC42" i="10"/>
  <c r="OC41" i="10"/>
  <c r="OM41" i="10" s="1"/>
  <c r="MP35" i="10"/>
  <c r="MP30" i="10"/>
  <c r="MN27" i="10"/>
  <c r="MX13" i="10"/>
  <c r="MX11" i="10"/>
  <c r="MX10" i="10"/>
  <c r="MV9" i="10"/>
  <c r="MT9" i="10"/>
  <c r="MR9" i="10"/>
  <c r="MP9" i="10"/>
  <c r="MV5" i="10"/>
  <c r="MR5" i="10"/>
  <c r="MP5" i="10"/>
  <c r="MN5" i="10"/>
  <c r="NF5" i="10"/>
  <c r="NB27" i="10"/>
  <c r="NP27" i="10"/>
  <c r="NX9" i="10"/>
  <c r="NR9" i="10"/>
  <c r="NZ10" i="10"/>
  <c r="NV9" i="10"/>
  <c r="NT9" i="10"/>
  <c r="NV30" i="10"/>
  <c r="NP5" i="10"/>
  <c r="NT5" i="10"/>
  <c r="NR5" i="10"/>
  <c r="OC27" i="10"/>
  <c r="OG5" i="10"/>
  <c r="OC5" i="10"/>
  <c r="MX45" i="10" l="1"/>
  <c r="MX33" i="10"/>
  <c r="NZ45" i="10"/>
  <c r="MX32" i="10"/>
  <c r="MV18" i="10"/>
  <c r="MV21" i="10" s="1"/>
  <c r="MV23" i="10" s="1"/>
  <c r="MV50" i="10" s="1"/>
  <c r="MR35" i="10"/>
  <c r="MT30" i="10"/>
  <c r="NR18" i="10"/>
  <c r="NR21" i="10" s="1"/>
  <c r="NT18" i="10"/>
  <c r="NT21" i="10" s="1"/>
  <c r="NF30" i="10"/>
  <c r="MP18" i="10"/>
  <c r="MP21" i="10" s="1"/>
  <c r="MP23" i="10" s="1"/>
  <c r="MP50" i="10" s="1"/>
  <c r="MR18" i="10"/>
  <c r="MR21" i="10" s="1"/>
  <c r="MV35" i="10"/>
  <c r="MT35" i="10"/>
  <c r="MR30" i="10"/>
  <c r="MV30" i="10"/>
  <c r="MN30" i="10"/>
  <c r="MP44" i="10"/>
  <c r="MP47" i="10" s="1"/>
  <c r="MX12" i="10"/>
  <c r="MT5" i="10"/>
  <c r="MT18" i="10" s="1"/>
  <c r="MT21" i="10" s="1"/>
  <c r="MT23" i="10" s="1"/>
  <c r="MT50" i="10" s="1"/>
  <c r="MN35" i="10"/>
  <c r="MX7" i="10"/>
  <c r="MN9" i="10"/>
  <c r="MX9" i="10" s="1"/>
  <c r="MX6" i="10"/>
  <c r="OM6" i="10"/>
  <c r="OC9" i="10"/>
  <c r="OC18" i="10" s="1"/>
  <c r="OC21" i="10" s="1"/>
  <c r="OC23" i="10" s="1"/>
  <c r="NP50" i="10" s="1"/>
  <c r="NZ33" i="10"/>
  <c r="NZ12" i="10"/>
  <c r="NX30" i="10"/>
  <c r="NX35" i="10"/>
  <c r="NZ32" i="10"/>
  <c r="NZ13" i="10"/>
  <c r="NZ19" i="10"/>
  <c r="NV5" i="10"/>
  <c r="NV18" i="10" s="1"/>
  <c r="NV21" i="10" s="1"/>
  <c r="NX5" i="10"/>
  <c r="NX18" i="10" s="1"/>
  <c r="NX21" i="10" s="1"/>
  <c r="NZ7" i="10"/>
  <c r="NZ11" i="10"/>
  <c r="NP9" i="10"/>
  <c r="NZ9" i="10" s="1"/>
  <c r="NZ6" i="10"/>
  <c r="OC30" i="10"/>
  <c r="MT44" i="10" l="1"/>
  <c r="MT47" i="10" s="1"/>
  <c r="MX35" i="10"/>
  <c r="MN44" i="10"/>
  <c r="MN47" i="10" s="1"/>
  <c r="MX30" i="10"/>
  <c r="NT50" i="10"/>
  <c r="OG50" i="10"/>
  <c r="MR44" i="10"/>
  <c r="MR47" i="10" s="1"/>
  <c r="NZ5" i="10"/>
  <c r="NZ18" i="10" s="1"/>
  <c r="NZ21" i="10" s="1"/>
  <c r="NT30" i="10"/>
  <c r="MV44" i="10"/>
  <c r="MV47" i="10" s="1"/>
  <c r="MX5" i="10"/>
  <c r="MX18" i="10" s="1"/>
  <c r="MX21" i="10" s="1"/>
  <c r="MN18" i="10"/>
  <c r="MN21" i="10" s="1"/>
  <c r="MN23" i="10" s="1"/>
  <c r="NX44" i="10"/>
  <c r="NX47" i="10" s="1"/>
  <c r="NP30" i="10"/>
  <c r="NP35" i="10"/>
  <c r="NP18" i="10"/>
  <c r="NP21" i="10" s="1"/>
  <c r="OC35" i="10"/>
  <c r="MX23" i="10" l="1"/>
  <c r="MN50" i="10"/>
  <c r="MX50" i="10" s="1"/>
  <c r="MX44" i="10"/>
  <c r="MX47" i="10" s="1"/>
  <c r="NP44" i="10"/>
  <c r="NP47" i="10" s="1"/>
  <c r="OC44" i="10"/>
  <c r="OC47" i="10" s="1"/>
  <c r="OC50" i="10" s="1"/>
  <c r="OW42" i="10" l="1"/>
  <c r="OW41" i="10"/>
  <c r="OW39" i="10"/>
  <c r="OW38" i="10"/>
  <c r="OW37" i="10"/>
  <c r="OW36" i="10"/>
  <c r="OZ16" i="10"/>
  <c r="OZ15" i="10"/>
  <c r="OG30" i="10"/>
  <c r="OM32" i="10" l="1"/>
  <c r="OX32" i="10" l="1"/>
  <c r="OX31" i="10"/>
  <c r="OV33" i="10"/>
  <c r="OV32" i="10"/>
  <c r="OV31" i="10"/>
  <c r="OR42" i="10"/>
  <c r="OR41" i="10"/>
  <c r="OR39" i="10"/>
  <c r="OR32" i="10"/>
  <c r="OP42" i="10"/>
  <c r="OP41" i="10"/>
  <c r="OP39" i="10"/>
  <c r="OP38" i="10"/>
  <c r="OP37" i="10"/>
  <c r="OP36" i="10"/>
  <c r="OP33" i="10"/>
  <c r="OP32" i="10"/>
  <c r="OP31" i="10"/>
  <c r="PK42" i="10" l="1"/>
  <c r="PK41" i="10"/>
  <c r="PV41" i="10"/>
  <c r="PZ41" i="10" s="1"/>
  <c r="PC31" i="10"/>
  <c r="PZ16" i="10" l="1"/>
  <c r="PZ15" i="10"/>
  <c r="QC38" i="10" l="1"/>
  <c r="QC36" i="10" l="1"/>
  <c r="QC37" i="10"/>
  <c r="QC33" i="10"/>
  <c r="QC32" i="10"/>
  <c r="QC31" i="10"/>
  <c r="QC45" i="10"/>
  <c r="XV45" i="10" l="1"/>
  <c r="XR45" i="10"/>
  <c r="XI45" i="10"/>
  <c r="XE45" i="10"/>
  <c r="PT45" i="10"/>
  <c r="PP45" i="10"/>
  <c r="PG45" i="10"/>
  <c r="PC45" i="10"/>
  <c r="YK42" i="10"/>
  <c r="WX42" i="10"/>
  <c r="WK42" i="10"/>
  <c r="QK42" i="10"/>
  <c r="PX42" i="10"/>
  <c r="YG39" i="10"/>
  <c r="YE39" i="10"/>
  <c r="XT39" i="10"/>
  <c r="XR39" i="10"/>
  <c r="XG39" i="10"/>
  <c r="XE39" i="10"/>
  <c r="WT39" i="10"/>
  <c r="WR39" i="10"/>
  <c r="WG39" i="10"/>
  <c r="WE39" i="10"/>
  <c r="VT39" i="10"/>
  <c r="VR39" i="10"/>
  <c r="VG39" i="10"/>
  <c r="VE39" i="10"/>
  <c r="TT39" i="10"/>
  <c r="TR39" i="10"/>
  <c r="TG39" i="10"/>
  <c r="TE39" i="10"/>
  <c r="ST39" i="10"/>
  <c r="SR39" i="10"/>
  <c r="SG39" i="10"/>
  <c r="SE39" i="10"/>
  <c r="RT39" i="10"/>
  <c r="RG39" i="10"/>
  <c r="RE39" i="10"/>
  <c r="QT39" i="10"/>
  <c r="QR39" i="10"/>
  <c r="QE39" i="10"/>
  <c r="PT39" i="10"/>
  <c r="PR39" i="10"/>
  <c r="PG39" i="10"/>
  <c r="PE39" i="10"/>
  <c r="YK38" i="10"/>
  <c r="YI38" i="10"/>
  <c r="YG38" i="10"/>
  <c r="YE38" i="10"/>
  <c r="XX38" i="10"/>
  <c r="XV38" i="10"/>
  <c r="XT38" i="10"/>
  <c r="XK38" i="10"/>
  <c r="XI38" i="10"/>
  <c r="XG38" i="10"/>
  <c r="WX38" i="10"/>
  <c r="WV38" i="10"/>
  <c r="WT38" i="10"/>
  <c r="WR38" i="10"/>
  <c r="WK38" i="10"/>
  <c r="WI38" i="10"/>
  <c r="WG38" i="10"/>
  <c r="WE38" i="10"/>
  <c r="VX38" i="10"/>
  <c r="VV38" i="10"/>
  <c r="VT38" i="10"/>
  <c r="VK38" i="10"/>
  <c r="VI38" i="10"/>
  <c r="VG38" i="10"/>
  <c r="QK38" i="10"/>
  <c r="QI38" i="10"/>
  <c r="QE38" i="10"/>
  <c r="PX38" i="10"/>
  <c r="PV38" i="10"/>
  <c r="PT38" i="10"/>
  <c r="PR38" i="10"/>
  <c r="PP38" i="10"/>
  <c r="PK38" i="10"/>
  <c r="PI38" i="10"/>
  <c r="PG38" i="10"/>
  <c r="PC38" i="10"/>
  <c r="YK37" i="10"/>
  <c r="YI37" i="10"/>
  <c r="YG37" i="10"/>
  <c r="YE37" i="10"/>
  <c r="XV37" i="10"/>
  <c r="XT37" i="10"/>
  <c r="XI37" i="10"/>
  <c r="XG37" i="10"/>
  <c r="WV37" i="10"/>
  <c r="WT37" i="10"/>
  <c r="WR37" i="10"/>
  <c r="WI37" i="10"/>
  <c r="WG37" i="10"/>
  <c r="WE37" i="10"/>
  <c r="VX37" i="10"/>
  <c r="VV37" i="10"/>
  <c r="VT37" i="10"/>
  <c r="VK37" i="10"/>
  <c r="VI37" i="10"/>
  <c r="VG37" i="10"/>
  <c r="QI37" i="10"/>
  <c r="QE37" i="10"/>
  <c r="PV37" i="10"/>
  <c r="PT37" i="10"/>
  <c r="PR37" i="10"/>
  <c r="PP37" i="10"/>
  <c r="PI37" i="10"/>
  <c r="PG37" i="10"/>
  <c r="PC37" i="10"/>
  <c r="YE36" i="10"/>
  <c r="WR36" i="10"/>
  <c r="WE36" i="10"/>
  <c r="QI36" i="10"/>
  <c r="QE36" i="10"/>
  <c r="PV36" i="10"/>
  <c r="PT36" i="10"/>
  <c r="PR36" i="10"/>
  <c r="PP36" i="10"/>
  <c r="PI36" i="10"/>
  <c r="PG36" i="10"/>
  <c r="PC36" i="10"/>
  <c r="YH35" i="10"/>
  <c r="XU35" i="10"/>
  <c r="XH35" i="10"/>
  <c r="WU35" i="10"/>
  <c r="WH35" i="10"/>
  <c r="VU35" i="10"/>
  <c r="VH35" i="10"/>
  <c r="UU35" i="10"/>
  <c r="UH35" i="10"/>
  <c r="TU35" i="10"/>
  <c r="TH35" i="10"/>
  <c r="SU35" i="10"/>
  <c r="SH35" i="10"/>
  <c r="RU35" i="10"/>
  <c r="RH35" i="10"/>
  <c r="QH35" i="10"/>
  <c r="PU35" i="10"/>
  <c r="PH35" i="10"/>
  <c r="YG33" i="10"/>
  <c r="YE33" i="10"/>
  <c r="YC33" i="10"/>
  <c r="XT33" i="10"/>
  <c r="XR33" i="10"/>
  <c r="XP33" i="10"/>
  <c r="XG33" i="10"/>
  <c r="XE33" i="10"/>
  <c r="XC33" i="10"/>
  <c r="WT33" i="10"/>
  <c r="WR33" i="10"/>
  <c r="WP33" i="10"/>
  <c r="WG33" i="10"/>
  <c r="WE33" i="10"/>
  <c r="WC33" i="10"/>
  <c r="VT33" i="10"/>
  <c r="VR33" i="10"/>
  <c r="VP33" i="10"/>
  <c r="VG33" i="10"/>
  <c r="VE33" i="10"/>
  <c r="VC33" i="10"/>
  <c r="QI33" i="10"/>
  <c r="QE33" i="10"/>
  <c r="PV33" i="10"/>
  <c r="PT33" i="10"/>
  <c r="PR33" i="10"/>
  <c r="PP33" i="10"/>
  <c r="PI33" i="10"/>
  <c r="PG33" i="10"/>
  <c r="PC33" i="10"/>
  <c r="OT33" i="10"/>
  <c r="YK32" i="10"/>
  <c r="YI32" i="10"/>
  <c r="YG32" i="10"/>
  <c r="YE32" i="10"/>
  <c r="YC32" i="10"/>
  <c r="XX32" i="10"/>
  <c r="XV32" i="10"/>
  <c r="XR32" i="10"/>
  <c r="XP32" i="10"/>
  <c r="XK32" i="10"/>
  <c r="XI32" i="10"/>
  <c r="XE32" i="10"/>
  <c r="XC32" i="10"/>
  <c r="WX32" i="10"/>
  <c r="WV32" i="10"/>
  <c r="WT32" i="10"/>
  <c r="WR32" i="10"/>
  <c r="WP32" i="10"/>
  <c r="WK32" i="10"/>
  <c r="WI32" i="10"/>
  <c r="WG32" i="10"/>
  <c r="WE32" i="10"/>
  <c r="WC32" i="10"/>
  <c r="VX32" i="10"/>
  <c r="VV32" i="10"/>
  <c r="VR32" i="10"/>
  <c r="VK32" i="10"/>
  <c r="VI32" i="10"/>
  <c r="VE32" i="10"/>
  <c r="QK32" i="10"/>
  <c r="QI32" i="10"/>
  <c r="QE32" i="10"/>
  <c r="PX32" i="10"/>
  <c r="PV32" i="10"/>
  <c r="PT32" i="10"/>
  <c r="PR32" i="10"/>
  <c r="PP32" i="10"/>
  <c r="PK32" i="10"/>
  <c r="PI32" i="10"/>
  <c r="PG32" i="10"/>
  <c r="PE32" i="10"/>
  <c r="PC32" i="10"/>
  <c r="OT32" i="10"/>
  <c r="YK31" i="10"/>
  <c r="YI31" i="10"/>
  <c r="XX31" i="10"/>
  <c r="XV31" i="10"/>
  <c r="XK31" i="10"/>
  <c r="XI31" i="10"/>
  <c r="WX31" i="10"/>
  <c r="WV31" i="10"/>
  <c r="WK31" i="10"/>
  <c r="WI31" i="10"/>
  <c r="VX31" i="10"/>
  <c r="VK31" i="10"/>
  <c r="QK31" i="10"/>
  <c r="QI31" i="10"/>
  <c r="QE31" i="10"/>
  <c r="PX31" i="10"/>
  <c r="PV31" i="10"/>
  <c r="PT31" i="10"/>
  <c r="PR31" i="10"/>
  <c r="PP31" i="10"/>
  <c r="PK31" i="10"/>
  <c r="PI31" i="10"/>
  <c r="PG31" i="10"/>
  <c r="OT31" i="10"/>
  <c r="YH30" i="10"/>
  <c r="XU30" i="10"/>
  <c r="XH30" i="10"/>
  <c r="WU30" i="10"/>
  <c r="WH30" i="10"/>
  <c r="VU30" i="10"/>
  <c r="VH30" i="10"/>
  <c r="UU30" i="10"/>
  <c r="UH30" i="10"/>
  <c r="TU30" i="10"/>
  <c r="TH30" i="10"/>
  <c r="SU30" i="10"/>
  <c r="SH30" i="10"/>
  <c r="RU30" i="10"/>
  <c r="RH30" i="10"/>
  <c r="QH30" i="10"/>
  <c r="PU30" i="10"/>
  <c r="PH30" i="10"/>
  <c r="XP27" i="10"/>
  <c r="VP27" i="10"/>
  <c r="TP27" i="10"/>
  <c r="RP27" i="10"/>
  <c r="RC27" i="10"/>
  <c r="QP27" i="10"/>
  <c r="QC27" i="10"/>
  <c r="PP27" i="10"/>
  <c r="PC27" i="10"/>
  <c r="OP27" i="10"/>
  <c r="XZ21" i="10"/>
  <c r="XX21" i="10"/>
  <c r="XV21" i="10"/>
  <c r="XT21" i="10"/>
  <c r="XR21" i="10"/>
  <c r="XP21" i="10"/>
  <c r="VZ21" i="10"/>
  <c r="VX21" i="10"/>
  <c r="VV21" i="10"/>
  <c r="VT21" i="10"/>
  <c r="VR21" i="10"/>
  <c r="VP21" i="10"/>
  <c r="YZ19" i="10"/>
  <c r="YX19" i="10"/>
  <c r="YK45" i="10" s="1"/>
  <c r="YV19" i="10"/>
  <c r="YI45" i="10" s="1"/>
  <c r="YT19" i="10"/>
  <c r="YG45" i="10" s="1"/>
  <c r="YR19" i="10"/>
  <c r="YE45" i="10" s="1"/>
  <c r="YP19" i="10"/>
  <c r="YC45" i="10" s="1"/>
  <c r="YD19" i="10"/>
  <c r="XZ19" i="10"/>
  <c r="XX19" i="10"/>
  <c r="XT19" i="10"/>
  <c r="XP19" i="10"/>
  <c r="XC45" i="10" s="1"/>
  <c r="WX19" i="10"/>
  <c r="WK45" i="10" s="1"/>
  <c r="WV19" i="10"/>
  <c r="WU19" i="10"/>
  <c r="WT19" i="10"/>
  <c r="WT45" i="10" s="1"/>
  <c r="WR19" i="10"/>
  <c r="WP19" i="10"/>
  <c r="WJ19" i="10"/>
  <c r="VZ19" i="10"/>
  <c r="VX19" i="10"/>
  <c r="VV19" i="10"/>
  <c r="VT19" i="10"/>
  <c r="VR19" i="10"/>
  <c r="VP19" i="10"/>
  <c r="VC45" i="10" s="1"/>
  <c r="UX45" i="10"/>
  <c r="UV45" i="10"/>
  <c r="UT45" i="10"/>
  <c r="UR45" i="10"/>
  <c r="TX45" i="10"/>
  <c r="TV45" i="10"/>
  <c r="TT45" i="10"/>
  <c r="TR45" i="10"/>
  <c r="RV45" i="10"/>
  <c r="RT45" i="10"/>
  <c r="RR45" i="10"/>
  <c r="QP45" i="10"/>
  <c r="PZ19" i="10"/>
  <c r="XZ18" i="10"/>
  <c r="XX18" i="10"/>
  <c r="XV18" i="10"/>
  <c r="XT18" i="10"/>
  <c r="XR18" i="10"/>
  <c r="XP18" i="10"/>
  <c r="VZ18" i="10"/>
  <c r="VX18" i="10"/>
  <c r="VV18" i="10"/>
  <c r="VT18" i="10"/>
  <c r="VR18" i="10"/>
  <c r="VP18" i="10"/>
  <c r="TU18" i="10"/>
  <c r="TU21" i="10" s="1"/>
  <c r="TH18" i="10"/>
  <c r="TH21" i="10" s="1"/>
  <c r="SH18" i="10"/>
  <c r="SH21" i="10" s="1"/>
  <c r="RU18" i="10"/>
  <c r="RU21" i="10" s="1"/>
  <c r="RH18" i="10"/>
  <c r="RH21" i="10" s="1"/>
  <c r="QU18" i="10"/>
  <c r="QU21" i="10" s="1"/>
  <c r="QH18" i="10"/>
  <c r="QH21" i="10" s="1"/>
  <c r="PH18" i="10"/>
  <c r="PH21" i="10" s="1"/>
  <c r="YV16" i="10"/>
  <c r="YI42" i="10" s="1"/>
  <c r="YM16" i="10"/>
  <c r="XZ16" i="10"/>
  <c r="XX16" i="10"/>
  <c r="XV16" i="10"/>
  <c r="XV42" i="10" s="1"/>
  <c r="WV16" i="10"/>
  <c r="WZ16" i="10" s="1"/>
  <c r="WM16" i="10"/>
  <c r="VZ16" i="10"/>
  <c r="VX16" i="10"/>
  <c r="VK42" i="10" s="1"/>
  <c r="VV16" i="10"/>
  <c r="TX42" i="10"/>
  <c r="RX42" i="10"/>
  <c r="RV42" i="10"/>
  <c r="YX13" i="10"/>
  <c r="YK39" i="10" s="1"/>
  <c r="YV13" i="10"/>
  <c r="YI39" i="10" s="1"/>
  <c r="YM13" i="10"/>
  <c r="XZ13" i="10"/>
  <c r="XX13" i="10"/>
  <c r="XV13" i="10"/>
  <c r="XV39" i="10" s="1"/>
  <c r="WX13" i="10"/>
  <c r="WV13" i="10"/>
  <c r="WM13" i="10"/>
  <c r="VZ13" i="10"/>
  <c r="VX13" i="10"/>
  <c r="VV13" i="10"/>
  <c r="UV39" i="10"/>
  <c r="UG39" i="10"/>
  <c r="UR39" i="10"/>
  <c r="TX39" i="10"/>
  <c r="RX39" i="10"/>
  <c r="PZ13" i="10"/>
  <c r="YP12" i="10"/>
  <c r="YC38" i="10" s="1"/>
  <c r="YM12" i="10"/>
  <c r="XZ12" i="10"/>
  <c r="XR12" i="10"/>
  <c r="XP12" i="10"/>
  <c r="WP12" i="10"/>
  <c r="WM12" i="10"/>
  <c r="VZ12" i="10"/>
  <c r="VR12" i="10"/>
  <c r="VP12" i="10"/>
  <c r="UX38" i="10"/>
  <c r="UV38" i="10"/>
  <c r="UT38" i="10"/>
  <c r="UR38" i="10"/>
  <c r="UP38" i="10"/>
  <c r="TX38" i="10"/>
  <c r="TV38" i="10"/>
  <c r="TT38" i="10"/>
  <c r="TR38" i="10"/>
  <c r="TP38" i="10"/>
  <c r="RX38" i="10"/>
  <c r="RV38" i="10"/>
  <c r="RT38" i="10"/>
  <c r="RR38" i="10"/>
  <c r="RP38" i="10"/>
  <c r="QX38" i="10"/>
  <c r="QZ12" i="10"/>
  <c r="QM12" i="10"/>
  <c r="PZ12" i="10"/>
  <c r="YP11" i="10"/>
  <c r="YC37" i="10" s="1"/>
  <c r="YM11" i="10"/>
  <c r="XZ11" i="10"/>
  <c r="XX11" i="10"/>
  <c r="XR11" i="10"/>
  <c r="XP11" i="10"/>
  <c r="XP37" i="10" s="1"/>
  <c r="WX11" i="10"/>
  <c r="WX37" i="10" s="1"/>
  <c r="WP11" i="10"/>
  <c r="WM11" i="10"/>
  <c r="VZ11" i="10"/>
  <c r="VR11" i="10"/>
  <c r="VP11" i="10"/>
  <c r="VP37" i="10" s="1"/>
  <c r="UX37" i="10"/>
  <c r="UV37" i="10"/>
  <c r="UR37" i="10"/>
  <c r="UP37" i="10"/>
  <c r="TX37" i="10"/>
  <c r="TV37" i="10"/>
  <c r="TT37" i="10"/>
  <c r="TP37" i="10"/>
  <c r="RX37" i="10"/>
  <c r="RV37" i="10"/>
  <c r="RT37" i="10"/>
  <c r="RP37" i="10"/>
  <c r="QT37" i="10"/>
  <c r="QP37" i="10"/>
  <c r="QZ11" i="10"/>
  <c r="PZ11" i="10"/>
  <c r="YX10" i="10"/>
  <c r="YK36" i="10" s="1"/>
  <c r="YV10" i="10"/>
  <c r="YI36" i="10" s="1"/>
  <c r="YT10" i="10"/>
  <c r="YG36" i="10" s="1"/>
  <c r="YP10" i="10"/>
  <c r="YC36" i="10" s="1"/>
  <c r="YM10" i="10"/>
  <c r="XZ10" i="10"/>
  <c r="XX10" i="10"/>
  <c r="XV10" i="10"/>
  <c r="XV36" i="10" s="1"/>
  <c r="XT10" i="10"/>
  <c r="XR10" i="10"/>
  <c r="XP10" i="10"/>
  <c r="WX10" i="10"/>
  <c r="WV10" i="10"/>
  <c r="WT10" i="10"/>
  <c r="WT9" i="10" s="1"/>
  <c r="WP10" i="10"/>
  <c r="WM10" i="10"/>
  <c r="VZ10" i="10"/>
  <c r="VX10" i="10"/>
  <c r="VV10" i="10"/>
  <c r="VV36" i="10" s="1"/>
  <c r="VT10" i="10"/>
  <c r="VR10" i="10"/>
  <c r="VP10" i="10"/>
  <c r="UX36" i="10"/>
  <c r="UV36" i="10"/>
  <c r="UT36" i="10"/>
  <c r="UR36" i="10"/>
  <c r="UP36" i="10"/>
  <c r="TV36" i="10"/>
  <c r="TR36" i="10"/>
  <c r="RV36" i="10"/>
  <c r="RR36" i="10"/>
  <c r="PZ10" i="10"/>
  <c r="YW9" i="10"/>
  <c r="YR9" i="10"/>
  <c r="YK9" i="10"/>
  <c r="YJ9" i="10"/>
  <c r="YI9" i="10"/>
  <c r="YG9" i="10"/>
  <c r="YE9" i="10"/>
  <c r="YC9" i="10"/>
  <c r="XZ9" i="10"/>
  <c r="XX9" i="10"/>
  <c r="XV9" i="10"/>
  <c r="XT9" i="10"/>
  <c r="XR9" i="10"/>
  <c r="XP9" i="10"/>
  <c r="WU9" i="10"/>
  <c r="WR9" i="10"/>
  <c r="WK9" i="10"/>
  <c r="WI9" i="10"/>
  <c r="WG9" i="10"/>
  <c r="WE9" i="10"/>
  <c r="WC9" i="10"/>
  <c r="VZ9" i="10"/>
  <c r="VX9" i="10"/>
  <c r="VV9" i="10"/>
  <c r="VT9" i="10"/>
  <c r="VR9" i="10"/>
  <c r="VP9" i="10"/>
  <c r="UU9" i="10"/>
  <c r="UH9" i="10"/>
  <c r="UH18" i="10" s="1"/>
  <c r="UH21" i="10" s="1"/>
  <c r="QT9" i="10"/>
  <c r="QR9" i="10"/>
  <c r="QP9" i="10"/>
  <c r="QG9" i="10"/>
  <c r="QE9" i="10"/>
  <c r="QC9" i="10"/>
  <c r="PX9" i="10"/>
  <c r="PV9" i="10"/>
  <c r="PT9" i="10"/>
  <c r="PR9" i="10"/>
  <c r="PP9" i="10"/>
  <c r="PG9" i="10"/>
  <c r="PC9" i="10"/>
  <c r="OT9" i="10"/>
  <c r="OP9" i="10"/>
  <c r="YX7" i="10"/>
  <c r="YK33" i="10" s="1"/>
  <c r="YV7" i="10"/>
  <c r="YI33" i="10" s="1"/>
  <c r="YM7" i="10"/>
  <c r="XX7" i="10"/>
  <c r="XV7" i="10"/>
  <c r="XV33" i="10" s="1"/>
  <c r="WV7" i="10"/>
  <c r="WM7" i="10"/>
  <c r="VX7" i="10"/>
  <c r="VV7" i="10"/>
  <c r="UX33" i="10"/>
  <c r="UV33" i="10"/>
  <c r="UR33" i="10"/>
  <c r="UP33" i="10"/>
  <c r="TX33" i="10"/>
  <c r="TV33" i="10"/>
  <c r="TT33" i="10"/>
  <c r="TR33" i="10"/>
  <c r="TP33" i="10"/>
  <c r="RX33" i="10"/>
  <c r="RV33" i="10"/>
  <c r="RT33" i="10"/>
  <c r="RR33" i="10"/>
  <c r="QR33" i="10"/>
  <c r="PZ7" i="10"/>
  <c r="YM6" i="10"/>
  <c r="XZ6" i="10"/>
  <c r="XT6" i="10"/>
  <c r="WZ6" i="10"/>
  <c r="WM6" i="10"/>
  <c r="VZ6" i="10"/>
  <c r="VT6" i="10"/>
  <c r="VP6" i="10"/>
  <c r="VC32" i="10" s="1"/>
  <c r="UX32" i="10"/>
  <c r="UV32" i="10"/>
  <c r="UT32" i="10"/>
  <c r="UR32" i="10"/>
  <c r="TV32" i="10"/>
  <c r="TT32" i="10"/>
  <c r="TR32" i="10"/>
  <c r="TP32" i="10"/>
  <c r="SC32" i="10"/>
  <c r="RV32" i="10"/>
  <c r="RT32" i="10"/>
  <c r="RR32" i="10"/>
  <c r="QZ6" i="10"/>
  <c r="QM6" i="10"/>
  <c r="PZ6" i="10"/>
  <c r="PM6" i="10"/>
  <c r="OZ6" i="10"/>
  <c r="YG31" i="10"/>
  <c r="YE31" i="10"/>
  <c r="YC31" i="10"/>
  <c r="WR31" i="10"/>
  <c r="VI31" i="10"/>
  <c r="VR31" i="10"/>
  <c r="UX31" i="10"/>
  <c r="UV31" i="10"/>
  <c r="UT31" i="10"/>
  <c r="UR31" i="10"/>
  <c r="TX31" i="10"/>
  <c r="TP31" i="10"/>
  <c r="RX31" i="10"/>
  <c r="RV31" i="10"/>
  <c r="RP31" i="10"/>
  <c r="QV31" i="10"/>
  <c r="QT31" i="10"/>
  <c r="QR31" i="10"/>
  <c r="YW5" i="10"/>
  <c r="YK5" i="10"/>
  <c r="YJ5" i="10"/>
  <c r="YI5" i="10"/>
  <c r="YG5" i="10"/>
  <c r="YE5" i="10"/>
  <c r="YC5" i="10"/>
  <c r="XZ5" i="10"/>
  <c r="XX5" i="10"/>
  <c r="XV5" i="10"/>
  <c r="XT5" i="10"/>
  <c r="XR5" i="10"/>
  <c r="XP5" i="10"/>
  <c r="WU5" i="10"/>
  <c r="WK5" i="10"/>
  <c r="WI5" i="10"/>
  <c r="WG5" i="10"/>
  <c r="WC5" i="10"/>
  <c r="VZ5" i="10"/>
  <c r="VX5" i="10"/>
  <c r="VV5" i="10"/>
  <c r="VT5" i="10"/>
  <c r="VR5" i="10"/>
  <c r="VP5" i="10"/>
  <c r="UU5" i="10"/>
  <c r="QV5" i="10"/>
  <c r="QT5" i="10"/>
  <c r="QR5" i="10"/>
  <c r="QP5" i="10"/>
  <c r="QI5" i="10"/>
  <c r="QG5" i="10"/>
  <c r="QE5" i="10"/>
  <c r="QC5" i="10"/>
  <c r="PX5" i="10"/>
  <c r="PV5" i="10"/>
  <c r="PT5" i="10"/>
  <c r="PR5" i="10"/>
  <c r="PP5" i="10"/>
  <c r="PI5" i="10"/>
  <c r="PG5" i="10"/>
  <c r="PC5" i="10"/>
  <c r="OV5" i="10"/>
  <c r="OT5" i="10"/>
  <c r="OP5" i="10"/>
  <c r="YC2" i="10"/>
  <c r="WC2" i="10"/>
  <c r="J61" i="7"/>
  <c r="F61" i="7"/>
  <c r="E61" i="7"/>
  <c r="D61" i="7"/>
  <c r="B61" i="7"/>
  <c r="J59" i="7"/>
  <c r="F59" i="7"/>
  <c r="D59" i="7"/>
  <c r="B59" i="7"/>
  <c r="J40" i="7"/>
  <c r="F40" i="7"/>
  <c r="E40" i="7"/>
  <c r="D40" i="7"/>
  <c r="B40" i="7"/>
  <c r="J38" i="7"/>
  <c r="F38" i="7"/>
  <c r="D38" i="7"/>
  <c r="B38" i="7"/>
  <c r="J20" i="7"/>
  <c r="F20" i="7"/>
  <c r="E20" i="7"/>
  <c r="D20" i="7"/>
  <c r="B20" i="7"/>
  <c r="J18" i="7"/>
  <c r="F18" i="7"/>
  <c r="D18" i="7"/>
  <c r="B18" i="7"/>
  <c r="I115" i="9"/>
  <c r="I91" i="9"/>
  <c r="G91" i="9"/>
  <c r="E91" i="9"/>
  <c r="C91" i="9"/>
  <c r="L86" i="9"/>
  <c r="I83" i="9"/>
  <c r="I78" i="9"/>
  <c r="L85" i="8"/>
  <c r="F85" i="8"/>
  <c r="E85" i="8"/>
  <c r="D85" i="8"/>
  <c r="B85" i="8"/>
  <c r="L83" i="8"/>
  <c r="F83" i="8"/>
  <c r="D83" i="8"/>
  <c r="B83" i="8"/>
  <c r="L42" i="8"/>
  <c r="F42" i="8"/>
  <c r="E42" i="8"/>
  <c r="D42" i="8"/>
  <c r="B42" i="8"/>
  <c r="L40" i="8"/>
  <c r="F40" i="8"/>
  <c r="D40" i="8"/>
  <c r="B40" i="8"/>
  <c r="YC18" i="10" l="1"/>
  <c r="YC21" i="10" s="1"/>
  <c r="QG18" i="10"/>
  <c r="QG21" i="10" s="1"/>
  <c r="WK18" i="10"/>
  <c r="WK21" i="10" s="1"/>
  <c r="WH44" i="10"/>
  <c r="WH47" i="10" s="1"/>
  <c r="D10" i="9"/>
  <c r="SR38" i="10"/>
  <c r="VU44" i="10"/>
  <c r="VU47" i="10" s="1"/>
  <c r="F5" i="9"/>
  <c r="F53" i="9"/>
  <c r="J37" i="9"/>
  <c r="D53" i="9"/>
  <c r="B102" i="9"/>
  <c r="YV5" i="10"/>
  <c r="UR9" i="10"/>
  <c r="WI18" i="10"/>
  <c r="WI21" i="10" s="1"/>
  <c r="YG18" i="10"/>
  <c r="YG21" i="10" s="1"/>
  <c r="YT9" i="10"/>
  <c r="WU18" i="10"/>
  <c r="WU21" i="10" s="1"/>
  <c r="PT18" i="10"/>
  <c r="PT21" i="10" s="1"/>
  <c r="UU44" i="10"/>
  <c r="UU47" i="10" s="1"/>
  <c r="YZ11" i="10"/>
  <c r="YI18" i="10"/>
  <c r="YI21" i="10" s="1"/>
  <c r="XH44" i="10"/>
  <c r="XH47" i="10" s="1"/>
  <c r="WX9" i="10"/>
  <c r="TU44" i="10"/>
  <c r="TU47" i="10" s="1"/>
  <c r="YK18" i="10"/>
  <c r="YK21" i="10" s="1"/>
  <c r="YG30" i="10"/>
  <c r="YG35" i="10"/>
  <c r="YM42" i="10"/>
  <c r="OT18" i="10"/>
  <c r="OT21" i="10" s="1"/>
  <c r="WR30" i="10"/>
  <c r="PT30" i="10"/>
  <c r="UU18" i="10"/>
  <c r="UU21" i="10" s="1"/>
  <c r="WG18" i="10"/>
  <c r="WG21" i="10" s="1"/>
  <c r="YR5" i="10"/>
  <c r="YR18" i="10" s="1"/>
  <c r="YR21" i="10" s="1"/>
  <c r="YK30" i="10"/>
  <c r="OP18" i="10"/>
  <c r="UI38" i="10"/>
  <c r="PR18" i="10"/>
  <c r="PR21" i="10" s="1"/>
  <c r="D5" i="9"/>
  <c r="D17" i="9" s="1"/>
  <c r="D20" i="9" s="1"/>
  <c r="B33" i="9"/>
  <c r="SU44" i="10"/>
  <c r="SU47" i="10" s="1"/>
  <c r="D78" i="9"/>
  <c r="F83" i="9"/>
  <c r="XI42" i="10"/>
  <c r="F10" i="9"/>
  <c r="XV30" i="10"/>
  <c r="WM9" i="10"/>
  <c r="F28" i="9"/>
  <c r="H78" i="9"/>
  <c r="YI35" i="10"/>
  <c r="UK38" i="10"/>
  <c r="YH44" i="10"/>
  <c r="YH47" i="10" s="1"/>
  <c r="J11" i="9"/>
  <c r="D28" i="9"/>
  <c r="J63" i="9"/>
  <c r="D102" i="9"/>
  <c r="H107" i="9"/>
  <c r="VR30" i="10"/>
  <c r="XV35" i="10"/>
  <c r="VH44" i="10"/>
  <c r="VH47" i="10" s="1"/>
  <c r="OT30" i="10"/>
  <c r="H28" i="9"/>
  <c r="UG36" i="10"/>
  <c r="YZ16" i="10"/>
  <c r="WE35" i="10"/>
  <c r="PT35" i="10"/>
  <c r="WX45" i="10"/>
  <c r="B10" i="9"/>
  <c r="J36" i="9"/>
  <c r="J38" i="9"/>
  <c r="H58" i="9"/>
  <c r="F102" i="9"/>
  <c r="WC18" i="10"/>
  <c r="WC21" i="10" s="1"/>
  <c r="YE30" i="10"/>
  <c r="YX9" i="10"/>
  <c r="J13" i="9"/>
  <c r="J15" i="9"/>
  <c r="F33" i="9"/>
  <c r="J54" i="9"/>
  <c r="H102" i="9"/>
  <c r="WZ32" i="10"/>
  <c r="J7" i="9"/>
  <c r="J29" i="9"/>
  <c r="J31" i="9"/>
  <c r="H33" i="9"/>
  <c r="J62" i="9"/>
  <c r="J66" i="9"/>
  <c r="J102" i="9"/>
  <c r="J6" i="9"/>
  <c r="F58" i="9"/>
  <c r="J83" i="9"/>
  <c r="YM38" i="10"/>
  <c r="WU44" i="10"/>
  <c r="WU47" i="10" s="1"/>
  <c r="J8" i="9"/>
  <c r="H10" i="9"/>
  <c r="H17" i="9" s="1"/>
  <c r="H20" i="9" s="1"/>
  <c r="J35" i="9"/>
  <c r="J41" i="9"/>
  <c r="H53" i="9"/>
  <c r="H65" i="9" s="1"/>
  <c r="H68" i="9" s="1"/>
  <c r="J60" i="9"/>
  <c r="J78" i="9"/>
  <c r="YE18" i="10"/>
  <c r="YE21" i="10" s="1"/>
  <c r="YZ13" i="10"/>
  <c r="TH44" i="10"/>
  <c r="TH47" i="10" s="1"/>
  <c r="J12" i="9"/>
  <c r="J14" i="9"/>
  <c r="J55" i="9"/>
  <c r="J59" i="9"/>
  <c r="D83" i="9"/>
  <c r="YZ10" i="10"/>
  <c r="XU44" i="10"/>
  <c r="XU47" i="10" s="1"/>
  <c r="J18" i="9"/>
  <c r="J30" i="9"/>
  <c r="J61" i="9"/>
  <c r="L88" i="9"/>
  <c r="D107" i="9"/>
  <c r="J107" i="9"/>
  <c r="YM9" i="10"/>
  <c r="YV9" i="10"/>
  <c r="UE36" i="10"/>
  <c r="UH44" i="10"/>
  <c r="UH47" i="10" s="1"/>
  <c r="YM32" i="10"/>
  <c r="WR35" i="10"/>
  <c r="PG35" i="10"/>
  <c r="PG18" i="10"/>
  <c r="PG21" i="10" s="1"/>
  <c r="PG30" i="10"/>
  <c r="WP36" i="10"/>
  <c r="WC36" i="10"/>
  <c r="D33" i="9"/>
  <c r="J34" i="9"/>
  <c r="J56" i="9"/>
  <c r="L80" i="9"/>
  <c r="L85" i="9"/>
  <c r="WP5" i="10"/>
  <c r="YM31" i="10"/>
  <c r="YC30" i="10"/>
  <c r="WI33" i="10"/>
  <c r="WV33" i="10"/>
  <c r="WV30" i="10" s="1"/>
  <c r="VC36" i="10"/>
  <c r="VP36" i="10"/>
  <c r="WG36" i="10"/>
  <c r="WG35" i="10" s="1"/>
  <c r="WT36" i="10"/>
  <c r="WT35" i="10" s="1"/>
  <c r="XX36" i="10"/>
  <c r="XK36" i="10"/>
  <c r="XR37" i="10"/>
  <c r="XE37" i="10"/>
  <c r="VE38" i="10"/>
  <c r="VR38" i="10"/>
  <c r="VI39" i="10"/>
  <c r="VV39" i="10"/>
  <c r="XX39" i="10"/>
  <c r="XZ39" i="10" s="1"/>
  <c r="XK39" i="10"/>
  <c r="VV42" i="10"/>
  <c r="VI42" i="10"/>
  <c r="VM42" i="10" s="1"/>
  <c r="WC45" i="10"/>
  <c r="WP45" i="10"/>
  <c r="XG45" i="10"/>
  <c r="XT45" i="10"/>
  <c r="XI39" i="10"/>
  <c r="VC38" i="10"/>
  <c r="VP38" i="10"/>
  <c r="B58" i="9"/>
  <c r="L105" i="9"/>
  <c r="L110" i="9"/>
  <c r="WR5" i="10"/>
  <c r="WR18" i="10" s="1"/>
  <c r="WR21" i="10" s="1"/>
  <c r="YX5" i="10"/>
  <c r="VC31" i="10"/>
  <c r="VP31" i="10"/>
  <c r="WG31" i="10"/>
  <c r="WG30" i="10" s="1"/>
  <c r="WT31" i="10"/>
  <c r="WT30" i="10" s="1"/>
  <c r="WX7" i="10"/>
  <c r="WZ7" i="10" s="1"/>
  <c r="VE36" i="10"/>
  <c r="VR36" i="10"/>
  <c r="WI36" i="10"/>
  <c r="WV36" i="10"/>
  <c r="VR37" i="10"/>
  <c r="VZ37" i="10" s="1"/>
  <c r="VE37" i="10"/>
  <c r="XK37" i="10"/>
  <c r="XX37" i="10"/>
  <c r="VK39" i="10"/>
  <c r="VX39" i="10"/>
  <c r="WE45" i="10"/>
  <c r="WR45" i="10"/>
  <c r="XK45" i="10"/>
  <c r="XX45" i="10"/>
  <c r="VP32" i="10"/>
  <c r="VC37" i="10"/>
  <c r="XX42" i="10"/>
  <c r="XZ42" i="10" s="1"/>
  <c r="XK42" i="10"/>
  <c r="B5" i="9"/>
  <c r="D58" i="9"/>
  <c r="WT5" i="10"/>
  <c r="WT18" i="10" s="1"/>
  <c r="WT21" i="10" s="1"/>
  <c r="VG32" i="10"/>
  <c r="VM32" i="10" s="1"/>
  <c r="VT32" i="10"/>
  <c r="UC33" i="10"/>
  <c r="UT5" i="10"/>
  <c r="WV9" i="10"/>
  <c r="YP9" i="10"/>
  <c r="VG36" i="10"/>
  <c r="VG35" i="10" s="1"/>
  <c r="VT36" i="10"/>
  <c r="VT35" i="10" s="1"/>
  <c r="WK36" i="10"/>
  <c r="WX36" i="10"/>
  <c r="UK37" i="10"/>
  <c r="YZ12" i="10"/>
  <c r="PC18" i="10"/>
  <c r="PC21" i="10" s="1"/>
  <c r="VE45" i="10"/>
  <c r="VR45" i="10"/>
  <c r="VI36" i="10"/>
  <c r="XP45" i="10"/>
  <c r="WP31" i="10"/>
  <c r="WC31" i="10"/>
  <c r="WC30" i="10" s="1"/>
  <c r="B28" i="9"/>
  <c r="L79" i="9"/>
  <c r="H83" i="9"/>
  <c r="L109" i="9"/>
  <c r="L112" i="9"/>
  <c r="YM5" i="10"/>
  <c r="VT31" i="10"/>
  <c r="VG31" i="10"/>
  <c r="XC31" i="10"/>
  <c r="XP31" i="10"/>
  <c r="UK32" i="10"/>
  <c r="WZ10" i="10"/>
  <c r="YM36" i="10"/>
  <c r="YC35" i="10"/>
  <c r="WP38" i="10"/>
  <c r="WZ38" i="10" s="1"/>
  <c r="WC38" i="10"/>
  <c r="WM38" i="10" s="1"/>
  <c r="UK45" i="10"/>
  <c r="VG45" i="10"/>
  <c r="VT45" i="10"/>
  <c r="WK37" i="10"/>
  <c r="YE35" i="10"/>
  <c r="YM39" i="10"/>
  <c r="XC37" i="10"/>
  <c r="B53" i="9"/>
  <c r="L84" i="9"/>
  <c r="L104" i="9"/>
  <c r="UR5" i="10"/>
  <c r="WV5" i="10"/>
  <c r="YP5" i="10"/>
  <c r="XE31" i="10"/>
  <c r="XE30" i="10" s="1"/>
  <c r="XR31" i="10"/>
  <c r="XR30" i="10" s="1"/>
  <c r="UZ6" i="10"/>
  <c r="XX33" i="10"/>
  <c r="XX30" i="10" s="1"/>
  <c r="XK33" i="10"/>
  <c r="XK30" i="10" s="1"/>
  <c r="VX36" i="10"/>
  <c r="VK36" i="10"/>
  <c r="XC36" i="10"/>
  <c r="XP36" i="10"/>
  <c r="WC37" i="10"/>
  <c r="WP37" i="10"/>
  <c r="WZ37" i="10" s="1"/>
  <c r="YM37" i="10"/>
  <c r="WZ12" i="10"/>
  <c r="WI39" i="10"/>
  <c r="WV39" i="10"/>
  <c r="WV42" i="10"/>
  <c r="WZ42" i="10" s="1"/>
  <c r="WI42" i="10"/>
  <c r="WM42" i="10" s="1"/>
  <c r="UZ19" i="10"/>
  <c r="VI45" i="10"/>
  <c r="VV45" i="10"/>
  <c r="WV45" i="10"/>
  <c r="WI45" i="10"/>
  <c r="YM45" i="10"/>
  <c r="VE31" i="10"/>
  <c r="VE30" i="10" s="1"/>
  <c r="XI33" i="10"/>
  <c r="XI30" i="10" s="1"/>
  <c r="UT39" i="10"/>
  <c r="VX42" i="10"/>
  <c r="F78" i="9"/>
  <c r="L81" i="9"/>
  <c r="F107" i="9"/>
  <c r="L111" i="9"/>
  <c r="XG31" i="10"/>
  <c r="XT31" i="10"/>
  <c r="VV33" i="10"/>
  <c r="VI33" i="10"/>
  <c r="VI30" i="10" s="1"/>
  <c r="XE36" i="10"/>
  <c r="XR36" i="10"/>
  <c r="XC38" i="10"/>
  <c r="XP38" i="10"/>
  <c r="WK39" i="10"/>
  <c r="WX39" i="10"/>
  <c r="VK45" i="10"/>
  <c r="VX45" i="10"/>
  <c r="WM32" i="10"/>
  <c r="OT35" i="10"/>
  <c r="VP45" i="10"/>
  <c r="B83" i="9"/>
  <c r="YT5" i="10"/>
  <c r="XG32" i="10"/>
  <c r="XM32" i="10" s="1"/>
  <c r="XT32" i="10"/>
  <c r="XZ32" i="10" s="1"/>
  <c r="VX33" i="10"/>
  <c r="VX30" i="10" s="1"/>
  <c r="VK33" i="10"/>
  <c r="VK30" i="10" s="1"/>
  <c r="YI30" i="10"/>
  <c r="YM33" i="10"/>
  <c r="WP9" i="10"/>
  <c r="XG36" i="10"/>
  <c r="XG35" i="10" s="1"/>
  <c r="XT36" i="10"/>
  <c r="XT35" i="10" s="1"/>
  <c r="YK35" i="10"/>
  <c r="WZ11" i="10"/>
  <c r="XE38" i="10"/>
  <c r="XR38" i="10"/>
  <c r="WZ13" i="10"/>
  <c r="WZ19" i="10"/>
  <c r="VV31" i="10"/>
  <c r="XI36" i="10"/>
  <c r="WG45" i="10"/>
  <c r="PP18" i="10"/>
  <c r="PP21" i="10" s="1"/>
  <c r="PV18" i="10"/>
  <c r="PV21" i="10" s="1"/>
  <c r="PZ9" i="10"/>
  <c r="PI30" i="10"/>
  <c r="PX18" i="10"/>
  <c r="PX21" i="10" s="1"/>
  <c r="PM32" i="10"/>
  <c r="PC35" i="10"/>
  <c r="PZ5" i="10"/>
  <c r="PC30" i="10"/>
  <c r="UZ38" i="10"/>
  <c r="UX5" i="10"/>
  <c r="UK33" i="10"/>
  <c r="UR35" i="10"/>
  <c r="UC45" i="10"/>
  <c r="UV5" i="10"/>
  <c r="UC37" i="10"/>
  <c r="UE38" i="10"/>
  <c r="UG45" i="10"/>
  <c r="UP45" i="10"/>
  <c r="UZ45" i="10" s="1"/>
  <c r="UC32" i="10"/>
  <c r="UT9" i="10"/>
  <c r="UG31" i="10"/>
  <c r="UG32" i="10"/>
  <c r="UP9" i="10"/>
  <c r="UP35" i="10"/>
  <c r="UZ36" i="10"/>
  <c r="UX30" i="10"/>
  <c r="UV30" i="10"/>
  <c r="UR30" i="10"/>
  <c r="UT33" i="10"/>
  <c r="UZ33" i="10" s="1"/>
  <c r="UT37" i="10"/>
  <c r="UZ37" i="10" s="1"/>
  <c r="UG33" i="10"/>
  <c r="UZ10" i="10"/>
  <c r="UP5" i="10"/>
  <c r="UC31" i="10"/>
  <c r="UI33" i="10"/>
  <c r="UZ7" i="10"/>
  <c r="UI36" i="10"/>
  <c r="UG37" i="10"/>
  <c r="UZ11" i="10"/>
  <c r="UG38" i="10"/>
  <c r="UZ12" i="10"/>
  <c r="UI45" i="10"/>
  <c r="UP31" i="10"/>
  <c r="UP32" i="10"/>
  <c r="UZ32" i="10" s="1"/>
  <c r="UE39" i="10"/>
  <c r="UI32" i="10"/>
  <c r="UI39" i="10"/>
  <c r="QC18" i="10"/>
  <c r="QC21" i="10" s="1"/>
  <c r="PR35" i="10"/>
  <c r="QE18" i="10"/>
  <c r="PR30" i="10"/>
  <c r="PZ38" i="10"/>
  <c r="PP35" i="10"/>
  <c r="PV30" i="10"/>
  <c r="PZ32" i="10"/>
  <c r="PZ31" i="10"/>
  <c r="PP30" i="10"/>
  <c r="QE30" i="10"/>
  <c r="QR18" i="10"/>
  <c r="QE35" i="10"/>
  <c r="RX45" i="10"/>
  <c r="RK45" i="10"/>
  <c r="RP9" i="10"/>
  <c r="QI30" i="10"/>
  <c r="QG35" i="10"/>
  <c r="QT18" i="10"/>
  <c r="QT21" i="10" s="1"/>
  <c r="QG30" i="10"/>
  <c r="QM38" i="10"/>
  <c r="QM31" i="10"/>
  <c r="QM32" i="10"/>
  <c r="QC35" i="10"/>
  <c r="QP18" i="10"/>
  <c r="QP21" i="10" s="1"/>
  <c r="QC30" i="10"/>
  <c r="TK42" i="10"/>
  <c r="RI45" i="10"/>
  <c r="SE45" i="10"/>
  <c r="TI33" i="10"/>
  <c r="TC37" i="10"/>
  <c r="SG45" i="10"/>
  <c r="SI32" i="10"/>
  <c r="TG32" i="10"/>
  <c r="SK33" i="10"/>
  <c r="SX36" i="10"/>
  <c r="SI39" i="10"/>
  <c r="TP5" i="10"/>
  <c r="TG31" i="10"/>
  <c r="SV42" i="10"/>
  <c r="RP36" i="10"/>
  <c r="RP35" i="10" s="1"/>
  <c r="RC31" i="10"/>
  <c r="TK31" i="10"/>
  <c r="TI32" i="10"/>
  <c r="RC33" i="10"/>
  <c r="SC37" i="10"/>
  <c r="TG37" i="10"/>
  <c r="ST38" i="10"/>
  <c r="SE37" i="10"/>
  <c r="TK37" i="10"/>
  <c r="TK38" i="10"/>
  <c r="TI45" i="10"/>
  <c r="SG31" i="10"/>
  <c r="TC31" i="10"/>
  <c r="RK33" i="10"/>
  <c r="SG33" i="10"/>
  <c r="RV5" i="10"/>
  <c r="TE31" i="10"/>
  <c r="TG33" i="10"/>
  <c r="TE36" i="10"/>
  <c r="ST33" i="10"/>
  <c r="SC5" i="10"/>
  <c r="SE9" i="10"/>
  <c r="SE5" i="10"/>
  <c r="TC5" i="10"/>
  <c r="SR33" i="10"/>
  <c r="RC5" i="10"/>
  <c r="RM16" i="10"/>
  <c r="SR45" i="10"/>
  <c r="RE5" i="10"/>
  <c r="RE9" i="10"/>
  <c r="SX37" i="10"/>
  <c r="TM16" i="10"/>
  <c r="UM12" i="10"/>
  <c r="SX32" i="10"/>
  <c r="TE9" i="10"/>
  <c r="SX45" i="10"/>
  <c r="UC5" i="10"/>
  <c r="RE31" i="10"/>
  <c r="TM6" i="10"/>
  <c r="SK31" i="10"/>
  <c r="SK5" i="10"/>
  <c r="RT31" i="10"/>
  <c r="RT30" i="10" s="1"/>
  <c r="RT5" i="10"/>
  <c r="SP31" i="10"/>
  <c r="WE31" i="10"/>
  <c r="WE30" i="10" s="1"/>
  <c r="WE5" i="10"/>
  <c r="WE18" i="10" s="1"/>
  <c r="WE21" i="10" s="1"/>
  <c r="TK33" i="10"/>
  <c r="TK5" i="10"/>
  <c r="TE32" i="10"/>
  <c r="QV45" i="10"/>
  <c r="SG36" i="10"/>
  <c r="SG9" i="10"/>
  <c r="UE33" i="10"/>
  <c r="UE5" i="10"/>
  <c r="UK31" i="10"/>
  <c r="UK5" i="10"/>
  <c r="RI33" i="10"/>
  <c r="QV33" i="10"/>
  <c r="TC33" i="10"/>
  <c r="SP33" i="10"/>
  <c r="SP37" i="10"/>
  <c r="TG5" i="10"/>
  <c r="QT36" i="10"/>
  <c r="RG9" i="10"/>
  <c r="UZ13" i="10"/>
  <c r="UX9" i="10"/>
  <c r="TV42" i="10"/>
  <c r="TZ42" i="10" s="1"/>
  <c r="TI42" i="10"/>
  <c r="TX32" i="10"/>
  <c r="TX30" i="10" s="1"/>
  <c r="TX5" i="10"/>
  <c r="TG9" i="10"/>
  <c r="UG9" i="10"/>
  <c r="TE5" i="10"/>
  <c r="SX31" i="10"/>
  <c r="TT31" i="10"/>
  <c r="TT30" i="10" s="1"/>
  <c r="TT5" i="10"/>
  <c r="QR32" i="10"/>
  <c r="QR30" i="10" s="1"/>
  <c r="RE32" i="10"/>
  <c r="RX36" i="10"/>
  <c r="RX35" i="10" s="1"/>
  <c r="RX9" i="10"/>
  <c r="TX36" i="10"/>
  <c r="TX35" i="10" s="1"/>
  <c r="TX9" i="10"/>
  <c r="TM13" i="10"/>
  <c r="TI39" i="10"/>
  <c r="SC31" i="10"/>
  <c r="ST32" i="10"/>
  <c r="SM7" i="10"/>
  <c r="SX33" i="10"/>
  <c r="TP36" i="10"/>
  <c r="TP35" i="10" s="1"/>
  <c r="TP9" i="10"/>
  <c r="ST37" i="10"/>
  <c r="UE37" i="10"/>
  <c r="UE9" i="10"/>
  <c r="TI38" i="10"/>
  <c r="UV42" i="10"/>
  <c r="UV35" i="10" s="1"/>
  <c r="UZ16" i="10"/>
  <c r="UV9" i="10"/>
  <c r="RK31" i="10"/>
  <c r="RK5" i="10"/>
  <c r="TV5" i="10"/>
  <c r="TV31" i="10"/>
  <c r="TV30" i="10" s="1"/>
  <c r="SG37" i="10"/>
  <c r="UG5" i="10"/>
  <c r="SK37" i="10"/>
  <c r="SK38" i="10"/>
  <c r="RI32" i="10"/>
  <c r="QV32" i="10"/>
  <c r="TC32" i="10"/>
  <c r="SV45" i="10"/>
  <c r="RV30" i="10"/>
  <c r="SE31" i="10"/>
  <c r="UE31" i="10"/>
  <c r="SK32" i="10"/>
  <c r="RK37" i="10"/>
  <c r="QX37" i="10"/>
  <c r="ST31" i="10"/>
  <c r="SR32" i="10"/>
  <c r="TK32" i="10"/>
  <c r="UM6" i="10"/>
  <c r="UE32" i="10"/>
  <c r="TZ33" i="10"/>
  <c r="TG45" i="10"/>
  <c r="RE33" i="10"/>
  <c r="ST36" i="10"/>
  <c r="TI36" i="10"/>
  <c r="TE38" i="10"/>
  <c r="SG38" i="10"/>
  <c r="SV38" i="10"/>
  <c r="SX39" i="10"/>
  <c r="SI45" i="10"/>
  <c r="TE45" i="10"/>
  <c r="L87" i="9"/>
  <c r="L108" i="9"/>
  <c r="TI5" i="10"/>
  <c r="TI31" i="10"/>
  <c r="RP5" i="10"/>
  <c r="RP32" i="10"/>
  <c r="RZ6" i="10"/>
  <c r="QT33" i="10"/>
  <c r="RG33" i="10"/>
  <c r="TI37" i="10"/>
  <c r="TI9" i="10"/>
  <c r="SC38" i="10"/>
  <c r="SM12" i="10"/>
  <c r="QT45" i="10"/>
  <c r="RG45" i="10"/>
  <c r="B78" i="9"/>
  <c r="B107" i="9"/>
  <c r="RR5" i="10"/>
  <c r="RR31" i="10"/>
  <c r="RR30" i="10" s="1"/>
  <c r="SI5" i="10"/>
  <c r="SI31" i="10"/>
  <c r="QT32" i="10"/>
  <c r="RG5" i="10"/>
  <c r="RG32" i="10"/>
  <c r="QP36" i="10"/>
  <c r="RC9" i="10"/>
  <c r="RC36" i="10"/>
  <c r="RM10" i="10"/>
  <c r="RK36" i="10"/>
  <c r="RK9" i="10"/>
  <c r="TC9" i="10"/>
  <c r="TC36" i="10"/>
  <c r="TM10" i="10"/>
  <c r="TK36" i="10"/>
  <c r="TK9" i="10"/>
  <c r="RR37" i="10"/>
  <c r="RZ37" i="10" s="1"/>
  <c r="RR9" i="10"/>
  <c r="RZ11" i="10"/>
  <c r="SI37" i="10"/>
  <c r="SI9" i="10"/>
  <c r="SK39" i="10"/>
  <c r="SM13" i="10"/>
  <c r="SM19" i="10"/>
  <c r="SP45" i="10"/>
  <c r="UM19" i="10"/>
  <c r="SE32" i="10"/>
  <c r="RK38" i="10"/>
  <c r="L103" i="9"/>
  <c r="SR31" i="10"/>
  <c r="RX5" i="10"/>
  <c r="RX32" i="10"/>
  <c r="RX30" i="10" s="1"/>
  <c r="RT9" i="10"/>
  <c r="RT36" i="10"/>
  <c r="RT35" i="10" s="1"/>
  <c r="TT9" i="10"/>
  <c r="TT36" i="10"/>
  <c r="TT35" i="10" s="1"/>
  <c r="UI42" i="10"/>
  <c r="UM16" i="10"/>
  <c r="RI5" i="10"/>
  <c r="RI31" i="10"/>
  <c r="TP30" i="10"/>
  <c r="RZ10" i="10"/>
  <c r="SR36" i="10"/>
  <c r="SV36" i="10"/>
  <c r="TZ10" i="10"/>
  <c r="RI37" i="10"/>
  <c r="QV37" i="10"/>
  <c r="RI9" i="10"/>
  <c r="QP38" i="10"/>
  <c r="RC38" i="10"/>
  <c r="RM12" i="10"/>
  <c r="TC38" i="10"/>
  <c r="TM12" i="10"/>
  <c r="RV39" i="10"/>
  <c r="RZ39" i="10" s="1"/>
  <c r="RV9" i="10"/>
  <c r="RZ13" i="10"/>
  <c r="UK39" i="10"/>
  <c r="UM13" i="10"/>
  <c r="SX42" i="10"/>
  <c r="TR5" i="10"/>
  <c r="TR31" i="10"/>
  <c r="TR30" i="10" s="1"/>
  <c r="UI5" i="10"/>
  <c r="UI31" i="10"/>
  <c r="RC32" i="10"/>
  <c r="RK32" i="10"/>
  <c r="SG5" i="10"/>
  <c r="SG32" i="10"/>
  <c r="RP33" i="10"/>
  <c r="RZ33" i="10" s="1"/>
  <c r="RZ7" i="10"/>
  <c r="SC36" i="10"/>
  <c r="SC9" i="10"/>
  <c r="SM10" i="10"/>
  <c r="SK9" i="10"/>
  <c r="SK36" i="10"/>
  <c r="TG36" i="10"/>
  <c r="UC36" i="10"/>
  <c r="UC9" i="10"/>
  <c r="UM10" i="10"/>
  <c r="UK9" i="10"/>
  <c r="UK36" i="10"/>
  <c r="TR37" i="10"/>
  <c r="TZ37" i="10" s="1"/>
  <c r="TR9" i="10"/>
  <c r="TZ11" i="10"/>
  <c r="UI37" i="10"/>
  <c r="UI9" i="10"/>
  <c r="TV39" i="10"/>
  <c r="TZ39" i="10" s="1"/>
  <c r="TV9" i="10"/>
  <c r="TZ13" i="10"/>
  <c r="SI42" i="10"/>
  <c r="SM16" i="10"/>
  <c r="RP45" i="10"/>
  <c r="RZ19" i="10"/>
  <c r="TP45" i="10"/>
  <c r="TZ45" i="10" s="1"/>
  <c r="TZ19" i="10"/>
  <c r="SV31" i="10"/>
  <c r="SV32" i="10"/>
  <c r="UC38" i="10"/>
  <c r="SI33" i="10"/>
  <c r="QR36" i="10"/>
  <c r="RE36" i="10"/>
  <c r="SE36" i="10"/>
  <c r="SR37" i="10"/>
  <c r="SV37" i="10"/>
  <c r="QR38" i="10"/>
  <c r="RE38" i="10"/>
  <c r="SE38" i="10"/>
  <c r="RI39" i="10"/>
  <c r="RZ42" i="10"/>
  <c r="SK42" i="10"/>
  <c r="QP31" i="10"/>
  <c r="QX31" i="10"/>
  <c r="RG31" i="10"/>
  <c r="QP32" i="10"/>
  <c r="QX32" i="10"/>
  <c r="SP32" i="10"/>
  <c r="QP33" i="10"/>
  <c r="SC33" i="10"/>
  <c r="RC37" i="10"/>
  <c r="UX39" i="10"/>
  <c r="RI42" i="10"/>
  <c r="RE45" i="10"/>
  <c r="SV33" i="10"/>
  <c r="TE33" i="10"/>
  <c r="TM7" i="10"/>
  <c r="QR37" i="10"/>
  <c r="RE37" i="10"/>
  <c r="RM11" i="10"/>
  <c r="SM11" i="10"/>
  <c r="TE37" i="10"/>
  <c r="TM11" i="10"/>
  <c r="UM11" i="10"/>
  <c r="RG38" i="10"/>
  <c r="RZ38" i="10"/>
  <c r="SP38" i="10"/>
  <c r="SX38" i="10"/>
  <c r="TG38" i="10"/>
  <c r="TZ38" i="10"/>
  <c r="RK39" i="10"/>
  <c r="QX39" i="10"/>
  <c r="SV39" i="10"/>
  <c r="TK39" i="10"/>
  <c r="RC45" i="10"/>
  <c r="SC45" i="10"/>
  <c r="SK45" i="10"/>
  <c r="ST45" i="10"/>
  <c r="TC45" i="10"/>
  <c r="TK45" i="10"/>
  <c r="RG36" i="10"/>
  <c r="SP36" i="10"/>
  <c r="RG37" i="10"/>
  <c r="QT38" i="10"/>
  <c r="UE45" i="10"/>
  <c r="RM6" i="10"/>
  <c r="SM6" i="10"/>
  <c r="RM7" i="10"/>
  <c r="SE33" i="10"/>
  <c r="RI36" i="10"/>
  <c r="QV36" i="10"/>
  <c r="SI36" i="10"/>
  <c r="RI38" i="10"/>
  <c r="QV38" i="10"/>
  <c r="RZ12" i="10"/>
  <c r="SI38" i="10"/>
  <c r="TZ12" i="10"/>
  <c r="RM13" i="10"/>
  <c r="QX42" i="10"/>
  <c r="RK42" i="10"/>
  <c r="RZ16" i="10"/>
  <c r="TZ16" i="10"/>
  <c r="UK42" i="10"/>
  <c r="UX42" i="10"/>
  <c r="RM19" i="10"/>
  <c r="TM19" i="10"/>
  <c r="XZ37" i="10" l="1"/>
  <c r="YE44" i="10"/>
  <c r="YE47" i="10" s="1"/>
  <c r="YV18" i="10"/>
  <c r="YV21" i="10" s="1"/>
  <c r="F17" i="9"/>
  <c r="F20" i="9" s="1"/>
  <c r="D40" i="9"/>
  <c r="D43" i="9" s="1"/>
  <c r="F40" i="9"/>
  <c r="F43" i="9" s="1"/>
  <c r="YK44" i="10"/>
  <c r="YK47" i="10" s="1"/>
  <c r="F65" i="9"/>
  <c r="F68" i="9" s="1"/>
  <c r="VM37" i="10"/>
  <c r="VV35" i="10"/>
  <c r="OT44" i="10"/>
  <c r="OT47" i="10" s="1"/>
  <c r="UR18" i="10"/>
  <c r="UR21" i="10" s="1"/>
  <c r="YM18" i="10"/>
  <c r="YM21" i="10" s="1"/>
  <c r="XV44" i="10"/>
  <c r="XV47" i="10" s="1"/>
  <c r="D65" i="9"/>
  <c r="D68" i="9" s="1"/>
  <c r="WR44" i="10"/>
  <c r="WR47" i="10" s="1"/>
  <c r="H40" i="9"/>
  <c r="H43" i="9" s="1"/>
  <c r="D114" i="9"/>
  <c r="D117" i="9" s="1"/>
  <c r="WT44" i="10"/>
  <c r="WT47" i="10" s="1"/>
  <c r="PT44" i="10"/>
  <c r="PT47" i="10" s="1"/>
  <c r="YT18" i="10"/>
  <c r="YT21" i="10" s="1"/>
  <c r="WG44" i="10"/>
  <c r="WG47" i="10" s="1"/>
  <c r="VM39" i="10"/>
  <c r="XM42" i="10"/>
  <c r="VI35" i="10"/>
  <c r="VI44" i="10" s="1"/>
  <c r="VI47" i="10" s="1"/>
  <c r="XM45" i="10"/>
  <c r="YI44" i="10"/>
  <c r="YI47" i="10" s="1"/>
  <c r="VV30" i="10"/>
  <c r="WZ39" i="10"/>
  <c r="YG44" i="10"/>
  <c r="YG47" i="10" s="1"/>
  <c r="XI35" i="10"/>
  <c r="XI44" i="10" s="1"/>
  <c r="XI47" i="10" s="1"/>
  <c r="VR35" i="10"/>
  <c r="VR44" i="10" s="1"/>
  <c r="VR47" i="10" s="1"/>
  <c r="VZ38" i="10"/>
  <c r="UT18" i="10"/>
  <c r="UT21" i="10" s="1"/>
  <c r="D90" i="9"/>
  <c r="D93" i="9" s="1"/>
  <c r="F114" i="9"/>
  <c r="F117" i="9" s="1"/>
  <c r="F90" i="9"/>
  <c r="F93" i="9" s="1"/>
  <c r="J90" i="9"/>
  <c r="J93" i="9" s="1"/>
  <c r="J114" i="9"/>
  <c r="J117" i="9" s="1"/>
  <c r="H114" i="9"/>
  <c r="H117" i="9" s="1"/>
  <c r="L102" i="9"/>
  <c r="J10" i="9"/>
  <c r="XM37" i="10"/>
  <c r="XM39" i="10"/>
  <c r="UM38" i="10"/>
  <c r="VG30" i="10"/>
  <c r="VG44" i="10" s="1"/>
  <c r="VG47" i="10" s="1"/>
  <c r="VZ39" i="10"/>
  <c r="YX18" i="10"/>
  <c r="YX21" i="10" s="1"/>
  <c r="WM37" i="10"/>
  <c r="VT30" i="10"/>
  <c r="VT44" i="10" s="1"/>
  <c r="VT47" i="10" s="1"/>
  <c r="VE35" i="10"/>
  <c r="VE44" i="10" s="1"/>
  <c r="VE47" i="10" s="1"/>
  <c r="J33" i="9"/>
  <c r="XR35" i="10"/>
  <c r="XR44" i="10" s="1"/>
  <c r="XR47" i="10" s="1"/>
  <c r="VZ32" i="10"/>
  <c r="VM38" i="10"/>
  <c r="UM39" i="10"/>
  <c r="XE35" i="10"/>
  <c r="XE44" i="10" s="1"/>
  <c r="XE47" i="10" s="1"/>
  <c r="PG44" i="10"/>
  <c r="PG47" i="10" s="1"/>
  <c r="UR44" i="10"/>
  <c r="UR47" i="10" s="1"/>
  <c r="VM45" i="10"/>
  <c r="YZ9" i="10"/>
  <c r="L83" i="9"/>
  <c r="UC30" i="10"/>
  <c r="UK30" i="10"/>
  <c r="WI30" i="10"/>
  <c r="VM31" i="10"/>
  <c r="VC30" i="10"/>
  <c r="VZ42" i="10"/>
  <c r="XP30" i="10"/>
  <c r="XZ31" i="10"/>
  <c r="UX18" i="10"/>
  <c r="UX21" i="10" s="1"/>
  <c r="B65" i="9"/>
  <c r="B68" i="9" s="1"/>
  <c r="J53" i="9"/>
  <c r="XM31" i="10"/>
  <c r="XC30" i="10"/>
  <c r="J5" i="9"/>
  <c r="B17" i="9"/>
  <c r="B20" i="9" s="1"/>
  <c r="WK33" i="10"/>
  <c r="WK30" i="10" s="1"/>
  <c r="WX33" i="10"/>
  <c r="WX5" i="10"/>
  <c r="WX18" i="10" s="1"/>
  <c r="WX21" i="10" s="1"/>
  <c r="XK35" i="10"/>
  <c r="XK44" i="10" s="1"/>
  <c r="XK47" i="10" s="1"/>
  <c r="YC44" i="10"/>
  <c r="YC47" i="10" s="1"/>
  <c r="YM30" i="10"/>
  <c r="XZ33" i="10"/>
  <c r="VZ33" i="10"/>
  <c r="XP35" i="10"/>
  <c r="XZ36" i="10"/>
  <c r="B40" i="9"/>
  <c r="B43" i="9" s="1"/>
  <c r="J28" i="9"/>
  <c r="XX35" i="10"/>
  <c r="XX44" i="10" s="1"/>
  <c r="XX47" i="10" s="1"/>
  <c r="WM36" i="10"/>
  <c r="WC35" i="10"/>
  <c r="WC44" i="10" s="1"/>
  <c r="WC47" i="10" s="1"/>
  <c r="UT35" i="10"/>
  <c r="UG30" i="10"/>
  <c r="XT30" i="10"/>
  <c r="XT44" i="10" s="1"/>
  <c r="XT47" i="10" s="1"/>
  <c r="XC35" i="10"/>
  <c r="XM36" i="10"/>
  <c r="YM35" i="10"/>
  <c r="WX35" i="10"/>
  <c r="WP18" i="10"/>
  <c r="WP21" i="10" s="1"/>
  <c r="WZ36" i="10"/>
  <c r="WP35" i="10"/>
  <c r="H90" i="9"/>
  <c r="H93" i="9" s="1"/>
  <c r="WZ9" i="10"/>
  <c r="XG30" i="10"/>
  <c r="XG44" i="10" s="1"/>
  <c r="XG47" i="10" s="1"/>
  <c r="VK35" i="10"/>
  <c r="VK44" i="10" s="1"/>
  <c r="VK47" i="10" s="1"/>
  <c r="YZ5" i="10"/>
  <c r="YP18" i="10"/>
  <c r="YP21" i="10" s="1"/>
  <c r="XZ45" i="10"/>
  <c r="WK35" i="10"/>
  <c r="J58" i="9"/>
  <c r="WZ45" i="10"/>
  <c r="PR44" i="10"/>
  <c r="UT30" i="10"/>
  <c r="VZ45" i="10"/>
  <c r="XZ38" i="10"/>
  <c r="WM39" i="10"/>
  <c r="VX35" i="10"/>
  <c r="VX44" i="10" s="1"/>
  <c r="VX47" i="10" s="1"/>
  <c r="WV18" i="10"/>
  <c r="WV21" i="10" s="1"/>
  <c r="WV35" i="10"/>
  <c r="WV44" i="10" s="1"/>
  <c r="WV47" i="10" s="1"/>
  <c r="WM45" i="10"/>
  <c r="VP35" i="10"/>
  <c r="VZ36" i="10"/>
  <c r="XM33" i="10"/>
  <c r="UG35" i="10"/>
  <c r="XM38" i="10"/>
  <c r="WZ31" i="10"/>
  <c r="WP30" i="10"/>
  <c r="WI35" i="10"/>
  <c r="VZ31" i="10"/>
  <c r="VP30" i="10"/>
  <c r="VC35" i="10"/>
  <c r="VM36" i="10"/>
  <c r="PZ18" i="10"/>
  <c r="PZ21" i="10" s="1"/>
  <c r="PC44" i="10"/>
  <c r="PC47" i="10" s="1"/>
  <c r="UM45" i="10"/>
  <c r="UM32" i="10"/>
  <c r="UE35" i="10"/>
  <c r="UI30" i="10"/>
  <c r="UP30" i="10"/>
  <c r="UZ31" i="10"/>
  <c r="UZ5" i="10"/>
  <c r="UP18" i="10"/>
  <c r="UP21" i="10" s="1"/>
  <c r="UM33" i="10"/>
  <c r="PP44" i="10"/>
  <c r="PP47" i="10" s="1"/>
  <c r="RZ45" i="10"/>
  <c r="QE44" i="10"/>
  <c r="QG44" i="10"/>
  <c r="QG47" i="10" s="1"/>
  <c r="QC44" i="10"/>
  <c r="QC47" i="10" s="1"/>
  <c r="SM39" i="10"/>
  <c r="TP18" i="10"/>
  <c r="TP21" i="10" s="1"/>
  <c r="TM42" i="10"/>
  <c r="RT18" i="10"/>
  <c r="RT21" i="10" s="1"/>
  <c r="WM31" i="10"/>
  <c r="TG30" i="10"/>
  <c r="ST35" i="10"/>
  <c r="UZ42" i="10"/>
  <c r="RT44" i="10"/>
  <c r="RT47" i="10" s="1"/>
  <c r="TI30" i="10"/>
  <c r="TV18" i="10"/>
  <c r="TV21" i="10" s="1"/>
  <c r="SZ42" i="10"/>
  <c r="SE18" i="10"/>
  <c r="SE21" i="10" s="1"/>
  <c r="TX18" i="10"/>
  <c r="TX21" i="10" s="1"/>
  <c r="SG30" i="10"/>
  <c r="UZ9" i="10"/>
  <c r="TX44" i="10"/>
  <c r="TX47" i="10" s="1"/>
  <c r="RK30" i="10"/>
  <c r="RV18" i="10"/>
  <c r="RV21" i="10" s="1"/>
  <c r="UE30" i="10"/>
  <c r="TC30" i="10"/>
  <c r="SC18" i="10"/>
  <c r="SC21" i="10" s="1"/>
  <c r="SM5" i="10"/>
  <c r="SG18" i="10"/>
  <c r="SG21" i="10" s="1"/>
  <c r="SM42" i="10"/>
  <c r="TE30" i="10"/>
  <c r="RE18" i="10"/>
  <c r="RE21" i="10" s="1"/>
  <c r="SX30" i="10"/>
  <c r="QV30" i="10"/>
  <c r="RG18" i="10"/>
  <c r="RG21" i="10" s="1"/>
  <c r="TI35" i="10"/>
  <c r="TG18" i="10"/>
  <c r="TG21" i="10" s="1"/>
  <c r="SZ39" i="10"/>
  <c r="SZ33" i="10"/>
  <c r="UC18" i="10"/>
  <c r="UC21" i="10" s="1"/>
  <c r="SK18" i="10"/>
  <c r="SK21" i="10" s="1"/>
  <c r="RM5" i="10"/>
  <c r="ST30" i="10"/>
  <c r="TM32" i="10"/>
  <c r="SM31" i="10"/>
  <c r="SK30" i="10"/>
  <c r="SX35" i="10"/>
  <c r="TK30" i="10"/>
  <c r="SZ37" i="10"/>
  <c r="UM37" i="10"/>
  <c r="SZ31" i="10"/>
  <c r="TE18" i="10"/>
  <c r="TE21" i="10" s="1"/>
  <c r="TM31" i="10"/>
  <c r="UM5" i="10"/>
  <c r="RE30" i="10"/>
  <c r="TK18" i="10"/>
  <c r="TK21" i="10" s="1"/>
  <c r="SM37" i="10"/>
  <c r="UG18" i="10"/>
  <c r="UG21" i="10" s="1"/>
  <c r="QT35" i="10"/>
  <c r="UV18" i="10"/>
  <c r="UV21" i="10" s="1"/>
  <c r="RX44" i="10"/>
  <c r="RX47" i="10" s="1"/>
  <c r="RK18" i="10"/>
  <c r="RK21" i="10" s="1"/>
  <c r="TE35" i="10"/>
  <c r="TZ9" i="10"/>
  <c r="RX18" i="10"/>
  <c r="RX21" i="10" s="1"/>
  <c r="WE44" i="10"/>
  <c r="WE47" i="10" s="1"/>
  <c r="QT30" i="10"/>
  <c r="SM38" i="10"/>
  <c r="UK35" i="10"/>
  <c r="RM32" i="10"/>
  <c r="UM42" i="10"/>
  <c r="TI18" i="10"/>
  <c r="TI21" i="10" s="1"/>
  <c r="TZ32" i="10"/>
  <c r="RM45" i="10"/>
  <c r="SZ38" i="10"/>
  <c r="RM42" i="10"/>
  <c r="QZ32" i="10"/>
  <c r="RE35" i="10"/>
  <c r="SV30" i="10"/>
  <c r="UK18" i="10"/>
  <c r="UK21" i="10" s="1"/>
  <c r="TT44" i="10"/>
  <c r="TT47" i="10" s="1"/>
  <c r="UE18" i="10"/>
  <c r="UE21" i="10" s="1"/>
  <c r="SZ32" i="10"/>
  <c r="SR30" i="10"/>
  <c r="SG35" i="10"/>
  <c r="RG35" i="10"/>
  <c r="SE35" i="10"/>
  <c r="RI30" i="10"/>
  <c r="TR35" i="10"/>
  <c r="TR44" i="10" s="1"/>
  <c r="TR47" i="10" s="1"/>
  <c r="TM39" i="10"/>
  <c r="QZ37" i="10"/>
  <c r="RG30" i="10"/>
  <c r="RM39" i="10"/>
  <c r="WM5" i="10"/>
  <c r="WM18" i="10" s="1"/>
  <c r="WM21" i="10" s="1"/>
  <c r="TT18" i="10"/>
  <c r="TT21" i="10" s="1"/>
  <c r="SE30" i="10"/>
  <c r="RM33" i="10"/>
  <c r="UC35" i="10"/>
  <c r="UM36" i="10"/>
  <c r="TR18" i="10"/>
  <c r="TR21" i="10" s="1"/>
  <c r="TP44" i="10"/>
  <c r="TP47" i="10" s="1"/>
  <c r="TZ30" i="10"/>
  <c r="RZ32" i="10"/>
  <c r="SM45" i="10"/>
  <c r="QR35" i="10"/>
  <c r="QR44" i="10" s="1"/>
  <c r="TG35" i="10"/>
  <c r="RM38" i="10"/>
  <c r="SV35" i="10"/>
  <c r="RK35" i="10"/>
  <c r="QP35" i="10"/>
  <c r="UV44" i="10"/>
  <c r="UV47" i="10" s="1"/>
  <c r="SI35" i="10"/>
  <c r="TZ5" i="10"/>
  <c r="TM45" i="10"/>
  <c r="RM37" i="10"/>
  <c r="RC30" i="10"/>
  <c r="SK35" i="10"/>
  <c r="SC35" i="10"/>
  <c r="SM36" i="10"/>
  <c r="UI18" i="10"/>
  <c r="UI21" i="10" s="1"/>
  <c r="QZ38" i="10"/>
  <c r="RI18" i="10"/>
  <c r="RI21" i="10" s="1"/>
  <c r="UM31" i="10"/>
  <c r="TZ36" i="10"/>
  <c r="SZ45" i="10"/>
  <c r="TM9" i="10"/>
  <c r="SI30" i="10"/>
  <c r="RR18" i="10"/>
  <c r="RR21" i="10" s="1"/>
  <c r="RZ31" i="10"/>
  <c r="TC18" i="10"/>
  <c r="TC21" i="10" s="1"/>
  <c r="RM9" i="10"/>
  <c r="L78" i="9"/>
  <c r="B90" i="9"/>
  <c r="B93" i="9" s="1"/>
  <c r="RI35" i="10"/>
  <c r="UX35" i="10"/>
  <c r="UX44" i="10" s="1"/>
  <c r="UX47" i="10" s="1"/>
  <c r="UZ39" i="10"/>
  <c r="SM9" i="10"/>
  <c r="SM32" i="10"/>
  <c r="TV35" i="10"/>
  <c r="TM36" i="10"/>
  <c r="TC35" i="10"/>
  <c r="RP18" i="10"/>
  <c r="RP21" i="10" s="1"/>
  <c r="RZ5" i="10"/>
  <c r="UI35" i="10"/>
  <c r="RR35" i="10"/>
  <c r="RR44" i="10" s="1"/>
  <c r="RR47" i="10" s="1"/>
  <c r="SZ36" i="10"/>
  <c r="SP35" i="10"/>
  <c r="SM33" i="10"/>
  <c r="QZ31" i="10"/>
  <c r="QP30" i="10"/>
  <c r="RC18" i="10"/>
  <c r="RC21" i="10" s="1"/>
  <c r="UM9" i="10"/>
  <c r="SP30" i="10"/>
  <c r="RZ36" i="10"/>
  <c r="TM38" i="10"/>
  <c r="SR35" i="10"/>
  <c r="TZ31" i="10"/>
  <c r="SC30" i="10"/>
  <c r="RZ9" i="10"/>
  <c r="TM5" i="10"/>
  <c r="TM37" i="10"/>
  <c r="TK35" i="10"/>
  <c r="RV35" i="10"/>
  <c r="RV44" i="10" s="1"/>
  <c r="RV47" i="10" s="1"/>
  <c r="RM36" i="10"/>
  <c r="RC35" i="10"/>
  <c r="SI18" i="10"/>
  <c r="SI21" i="10" s="1"/>
  <c r="B114" i="9"/>
  <c r="B117" i="9" s="1"/>
  <c r="L107" i="9"/>
  <c r="RP30" i="10"/>
  <c r="RM31" i="10"/>
  <c r="VV44" i="10" l="1"/>
  <c r="VV47" i="10" s="1"/>
  <c r="J17" i="9"/>
  <c r="J20" i="9" s="1"/>
  <c r="L114" i="9"/>
  <c r="L117" i="9" s="1"/>
  <c r="XM35" i="10"/>
  <c r="UZ18" i="10"/>
  <c r="UZ21" i="10" s="1"/>
  <c r="UT44" i="10"/>
  <c r="UT47" i="10" s="1"/>
  <c r="L90" i="9"/>
  <c r="L93" i="9" s="1"/>
  <c r="UI44" i="10"/>
  <c r="UI47" i="10" s="1"/>
  <c r="J40" i="9"/>
  <c r="J43" i="9" s="1"/>
  <c r="WM30" i="10"/>
  <c r="YZ18" i="10"/>
  <c r="YZ21" i="10" s="1"/>
  <c r="UK44" i="10"/>
  <c r="UK47" i="10" s="1"/>
  <c r="UE44" i="10"/>
  <c r="UE47" i="10" s="1"/>
  <c r="WZ35" i="10"/>
  <c r="VZ35" i="10"/>
  <c r="WZ5" i="10"/>
  <c r="WZ18" i="10" s="1"/>
  <c r="WZ21" i="10" s="1"/>
  <c r="UG44" i="10"/>
  <c r="UG47" i="10" s="1"/>
  <c r="VP44" i="10"/>
  <c r="VP47" i="10" s="1"/>
  <c r="VZ30" i="10"/>
  <c r="WX30" i="10"/>
  <c r="WX44" i="10" s="1"/>
  <c r="WX47" i="10" s="1"/>
  <c r="WZ33" i="10"/>
  <c r="J65" i="9"/>
  <c r="J68" i="9" s="1"/>
  <c r="WP44" i="10"/>
  <c r="WP47" i="10" s="1"/>
  <c r="WK44" i="10"/>
  <c r="WK47" i="10" s="1"/>
  <c r="XP44" i="10"/>
  <c r="XP47" i="10" s="1"/>
  <c r="XZ30" i="10"/>
  <c r="WI44" i="10"/>
  <c r="WI47" i="10" s="1"/>
  <c r="WM35" i="10"/>
  <c r="WM33" i="10"/>
  <c r="XC44" i="10"/>
  <c r="XC47" i="10" s="1"/>
  <c r="XM30" i="10"/>
  <c r="VM35" i="10"/>
  <c r="XZ35" i="10"/>
  <c r="YM44" i="10"/>
  <c r="YM47" i="10" s="1"/>
  <c r="VC44" i="10"/>
  <c r="VC47" i="10" s="1"/>
  <c r="VM30" i="10"/>
  <c r="UZ30" i="10"/>
  <c r="UP44" i="10"/>
  <c r="UP47" i="10" s="1"/>
  <c r="TG44" i="10"/>
  <c r="TG47" i="10" s="1"/>
  <c r="ST44" i="10"/>
  <c r="ST47" i="10" s="1"/>
  <c r="TI44" i="10"/>
  <c r="TI47" i="10" s="1"/>
  <c r="RI44" i="10"/>
  <c r="RI47" i="10" s="1"/>
  <c r="SX44" i="10"/>
  <c r="SX47" i="10" s="1"/>
  <c r="TC44" i="10"/>
  <c r="TC47" i="10" s="1"/>
  <c r="SR44" i="10"/>
  <c r="SR47" i="10" s="1"/>
  <c r="RK44" i="10"/>
  <c r="RK47" i="10" s="1"/>
  <c r="UM30" i="10"/>
  <c r="SG44" i="10"/>
  <c r="SG47" i="10" s="1"/>
  <c r="TE44" i="10"/>
  <c r="TE47" i="10" s="1"/>
  <c r="TZ35" i="10"/>
  <c r="TZ44" i="10" s="1"/>
  <c r="TZ47" i="10" s="1"/>
  <c r="SM18" i="10"/>
  <c r="SM21" i="10" s="1"/>
  <c r="RG44" i="10"/>
  <c r="RG47" i="10" s="1"/>
  <c r="SK44" i="10"/>
  <c r="SK47" i="10" s="1"/>
  <c r="TM30" i="10"/>
  <c r="RM18" i="10"/>
  <c r="RM21" i="10" s="1"/>
  <c r="SV44" i="10"/>
  <c r="SV47" i="10" s="1"/>
  <c r="RE44" i="10"/>
  <c r="RE47" i="10" s="1"/>
  <c r="SE44" i="10"/>
  <c r="SE47" i="10" s="1"/>
  <c r="UM18" i="10"/>
  <c r="UM21" i="10" s="1"/>
  <c r="TK44" i="10"/>
  <c r="TK47" i="10" s="1"/>
  <c r="QT44" i="10"/>
  <c r="QT47" i="10" s="1"/>
  <c r="SI44" i="10"/>
  <c r="SI47" i="10" s="1"/>
  <c r="TV44" i="10"/>
  <c r="TV47" i="10" s="1"/>
  <c r="RZ35" i="10"/>
  <c r="SM35" i="10"/>
  <c r="TZ18" i="10"/>
  <c r="TZ21" i="10" s="1"/>
  <c r="RZ18" i="10"/>
  <c r="RZ21" i="10" s="1"/>
  <c r="RM35" i="10"/>
  <c r="SC44" i="10"/>
  <c r="SC47" i="10" s="1"/>
  <c r="SM30" i="10"/>
  <c r="RC44" i="10"/>
  <c r="RC47" i="10" s="1"/>
  <c r="RM30" i="10"/>
  <c r="QP44" i="10"/>
  <c r="QP47" i="10" s="1"/>
  <c r="UM35" i="10"/>
  <c r="UC44" i="10"/>
  <c r="UC47" i="10" s="1"/>
  <c r="RP44" i="10"/>
  <c r="RP47" i="10" s="1"/>
  <c r="RZ30" i="10"/>
  <c r="TM18" i="10"/>
  <c r="TM21" i="10" s="1"/>
  <c r="SP44" i="10"/>
  <c r="SP47" i="10" s="1"/>
  <c r="SZ30" i="10"/>
  <c r="SZ35" i="10"/>
  <c r="TM35" i="10"/>
  <c r="UZ35" i="10"/>
  <c r="XM44" i="10" l="1"/>
  <c r="XM47" i="10" s="1"/>
  <c r="WM44" i="10"/>
  <c r="WM47" i="10" s="1"/>
  <c r="VM44" i="10"/>
  <c r="VM47" i="10" s="1"/>
  <c r="VZ44" i="10"/>
  <c r="VZ47" i="10" s="1"/>
  <c r="XZ44" i="10"/>
  <c r="XZ47" i="10" s="1"/>
  <c r="UZ44" i="10"/>
  <c r="UZ47" i="10" s="1"/>
  <c r="WZ30" i="10"/>
  <c r="WZ44" i="10" s="1"/>
  <c r="WZ47" i="10" s="1"/>
  <c r="UM44" i="10"/>
  <c r="UM47" i="10" s="1"/>
  <c r="TM44" i="10"/>
  <c r="TM47" i="10" s="1"/>
  <c r="SZ44" i="10"/>
  <c r="SZ47" i="10" s="1"/>
  <c r="RM44" i="10"/>
  <c r="RM47" i="10" s="1"/>
  <c r="RZ44" i="10"/>
  <c r="RZ47" i="10" s="1"/>
  <c r="SM44" i="10"/>
  <c r="SM47" i="10" s="1"/>
  <c r="QZ16" i="10" l="1"/>
  <c r="QV42" i="10"/>
  <c r="QZ42" i="10" s="1"/>
  <c r="QV9" i="10" l="1"/>
  <c r="QZ13" i="10"/>
  <c r="QV39" i="10"/>
  <c r="QX45" i="10" l="1"/>
  <c r="QZ19" i="10"/>
  <c r="QR45" i="10"/>
  <c r="QR21" i="10"/>
  <c r="QZ39" i="10"/>
  <c r="QV35" i="10"/>
  <c r="QV18" i="10"/>
  <c r="QV21" i="10" s="1"/>
  <c r="QV44" i="10" l="1"/>
  <c r="QV47" i="10" s="1"/>
  <c r="QZ45" i="10"/>
  <c r="QR47" i="10"/>
  <c r="QX5" i="10" l="1"/>
  <c r="QZ7" i="10"/>
  <c r="QX33" i="10"/>
  <c r="QX30" i="10" l="1"/>
  <c r="QZ33" i="10"/>
  <c r="QZ5" i="10"/>
  <c r="QZ30" i="10" l="1"/>
  <c r="QX9" i="10" l="1"/>
  <c r="QZ10" i="10"/>
  <c r="QX36" i="10"/>
  <c r="QX35" i="10" l="1"/>
  <c r="QZ36" i="10"/>
  <c r="QZ9" i="10"/>
  <c r="QZ18" i="10" s="1"/>
  <c r="QZ21" i="10" s="1"/>
  <c r="QX18" i="10"/>
  <c r="QX21" i="10" s="1"/>
  <c r="QZ35" i="10" l="1"/>
  <c r="QZ44" i="10" s="1"/>
  <c r="QZ47" i="10" s="1"/>
  <c r="QX44" i="10"/>
  <c r="QX47" i="10" s="1"/>
  <c r="PX36" i="10" l="1"/>
  <c r="QM10" i="10"/>
  <c r="QK36" i="10"/>
  <c r="QK37" i="10"/>
  <c r="QM37" i="10" s="1"/>
  <c r="QM11" i="10"/>
  <c r="PX37" i="10"/>
  <c r="PZ37" i="10" s="1"/>
  <c r="PZ36" i="10" l="1"/>
  <c r="QM36" i="10"/>
  <c r="QK5" i="10" l="1"/>
  <c r="PX33" i="10"/>
  <c r="QM7" i="10"/>
  <c r="QK33" i="10"/>
  <c r="QM16" i="10" l="1"/>
  <c r="PV42" i="10"/>
  <c r="PZ42" i="10" s="1"/>
  <c r="QI42" i="10"/>
  <c r="QM42" i="10" s="1"/>
  <c r="QK30" i="10"/>
  <c r="QM33" i="10"/>
  <c r="QM5" i="10"/>
  <c r="PZ33" i="10"/>
  <c r="PX30" i="10"/>
  <c r="PX39" i="10"/>
  <c r="PX35" i="10" s="1"/>
  <c r="QK39" i="10"/>
  <c r="QK35" i="10" s="1"/>
  <c r="QK9" i="10"/>
  <c r="QK18" i="10" s="1"/>
  <c r="QI9" i="10"/>
  <c r="PV39" i="10"/>
  <c r="QM13" i="10"/>
  <c r="QI39" i="10"/>
  <c r="PV35" i="10" l="1"/>
  <c r="PZ35" i="10" s="1"/>
  <c r="QI18" i="10"/>
  <c r="QM9" i="10"/>
  <c r="QM18" i="10" s="1"/>
  <c r="QM39" i="10"/>
  <c r="QI35" i="10"/>
  <c r="PZ39" i="10"/>
  <c r="QM30" i="10"/>
  <c r="QK44" i="10"/>
  <c r="PX44" i="10"/>
  <c r="PZ30" i="10"/>
  <c r="PZ44" i="10" l="1"/>
  <c r="QI44" i="10"/>
  <c r="QM35" i="10"/>
  <c r="QM44" i="10" s="1"/>
  <c r="PV44" i="10"/>
  <c r="PX45" i="10" l="1"/>
  <c r="PX47" i="10" s="1"/>
  <c r="QK45" i="10"/>
  <c r="QK47" i="10" s="1"/>
  <c r="QK21" i="10"/>
  <c r="PR45" i="10" l="1"/>
  <c r="QE21" i="10"/>
  <c r="QE45" i="10"/>
  <c r="QE47" i="10" l="1"/>
  <c r="PR47" i="10"/>
  <c r="PV45" i="10" l="1"/>
  <c r="QI45" i="10"/>
  <c r="QI21" i="10"/>
  <c r="QM19" i="10"/>
  <c r="QM21" i="10" s="1"/>
  <c r="QI47" i="10" l="1"/>
  <c r="QM45" i="10"/>
  <c r="QM47" i="10" s="1"/>
  <c r="PV47" i="10"/>
  <c r="PZ45" i="10"/>
  <c r="PZ47" i="10" s="1"/>
  <c r="OZ42" i="10" l="1"/>
  <c r="PK36" i="10" l="1"/>
  <c r="PK9" i="10"/>
  <c r="PI42" i="10"/>
  <c r="PM42" i="10" s="1"/>
  <c r="PM16" i="10"/>
  <c r="PK37" i="10"/>
  <c r="PK39" i="10"/>
  <c r="PK45" i="10"/>
  <c r="PI45" i="10"/>
  <c r="OR33" i="10"/>
  <c r="OX33" i="10"/>
  <c r="PK33" i="10" l="1"/>
  <c r="PK30" i="10" s="1"/>
  <c r="PK5" i="10"/>
  <c r="PK18" i="10" s="1"/>
  <c r="PK21" i="10" s="1"/>
  <c r="PK35" i="10"/>
  <c r="PE33" i="10"/>
  <c r="PM7" i="10"/>
  <c r="PM19" i="10"/>
  <c r="PE45" i="10"/>
  <c r="PM45" i="10" s="1"/>
  <c r="PM33" i="10" l="1"/>
  <c r="PK44" i="10"/>
  <c r="PK47" i="10" s="1"/>
  <c r="OR31" i="10" l="1"/>
  <c r="PE5" i="10" l="1"/>
  <c r="PE31" i="10"/>
  <c r="OR53" i="10" s="1"/>
  <c r="PE30" i="10" l="1"/>
  <c r="PM31" i="10"/>
  <c r="PM5" i="10"/>
  <c r="PM30" i="10" l="1"/>
  <c r="PM15" i="10" l="1"/>
  <c r="PI41" i="10" l="1"/>
  <c r="PM41" i="10" s="1"/>
  <c r="OZ41" i="10"/>
  <c r="OR38" i="10"/>
  <c r="OR36" i="10"/>
  <c r="OR37" i="10"/>
  <c r="PM11" i="10" l="1"/>
  <c r="PE37" i="10"/>
  <c r="PM37" i="10" s="1"/>
  <c r="PE9" i="10"/>
  <c r="PM10" i="10"/>
  <c r="PE36" i="10"/>
  <c r="PM12" i="10"/>
  <c r="PE38" i="10"/>
  <c r="PM38" i="10" s="1"/>
  <c r="PM36" i="10" l="1"/>
  <c r="PE35" i="10"/>
  <c r="PE18" i="10"/>
  <c r="PE21" i="10" s="1"/>
  <c r="PE44" i="10" l="1"/>
  <c r="PE47" i="10" s="1"/>
  <c r="PM13" i="10" l="1"/>
  <c r="PI39" i="10"/>
  <c r="PI9" i="10"/>
  <c r="PI18" i="10" l="1"/>
  <c r="PI21" i="10" s="1"/>
  <c r="PM9" i="10"/>
  <c r="PM18" i="10" s="1"/>
  <c r="PM21" i="10" s="1"/>
  <c r="PM39" i="10"/>
  <c r="PI35" i="10"/>
  <c r="PI44" i="10" l="1"/>
  <c r="PI47" i="10" s="1"/>
  <c r="PM35" i="10"/>
  <c r="PM44" i="10" s="1"/>
  <c r="PM47" i="10" s="1"/>
  <c r="OP45" i="10" l="1"/>
  <c r="OP21" i="10"/>
  <c r="OR45" i="10" l="1"/>
  <c r="OZ45" i="10" s="1"/>
  <c r="OZ19" i="10"/>
  <c r="OZ39" i="10" l="1"/>
  <c r="OX9" i="10"/>
  <c r="OX30" i="10"/>
  <c r="OX35" i="10" l="1"/>
  <c r="OX44" i="10" s="1"/>
  <c r="OX47" i="10" s="1"/>
  <c r="OX50" i="10" s="1"/>
  <c r="OZ13" i="10"/>
  <c r="OV9" i="10"/>
  <c r="OV18" i="10" s="1"/>
  <c r="OV21" i="10" s="1"/>
  <c r="OX5" i="10"/>
  <c r="OX18" i="10" s="1"/>
  <c r="OX21" i="10" s="1"/>
  <c r="OZ7" i="10"/>
  <c r="OV35" i="10" l="1"/>
  <c r="OZ32" i="10"/>
  <c r="OP35" i="10" l="1"/>
  <c r="OP30" i="10" l="1"/>
  <c r="OV30" i="10"/>
  <c r="OV44" i="10" s="1"/>
  <c r="OV47" i="10" s="1"/>
  <c r="OV50" i="10" s="1"/>
  <c r="OZ33" i="10"/>
  <c r="OP44" i="10" l="1"/>
  <c r="OP47" i="10" s="1"/>
  <c r="OP50" i="10" s="1"/>
  <c r="OR5" i="10" l="1"/>
  <c r="OR30" i="10"/>
  <c r="OZ31" i="10"/>
  <c r="OZ30" i="10" l="1"/>
  <c r="OZ5" i="10"/>
  <c r="OZ37" i="10" l="1"/>
  <c r="OZ11" i="10"/>
  <c r="OZ38" i="10"/>
  <c r="OZ12" i="10"/>
  <c r="OZ10" i="10" l="1"/>
  <c r="OR9" i="10"/>
  <c r="OR35" i="10"/>
  <c r="OZ36" i="10"/>
  <c r="OZ9" i="10" l="1"/>
  <c r="OZ18" i="10" s="1"/>
  <c r="OZ21" i="10" s="1"/>
  <c r="OR18" i="10"/>
  <c r="OR21" i="10" s="1"/>
  <c r="OZ35" i="10"/>
  <c r="OZ44" i="10" s="1"/>
  <c r="OZ47" i="10" s="1"/>
  <c r="OR44" i="10"/>
  <c r="OR47" i="10" s="1"/>
  <c r="OR50" i="10" s="1"/>
  <c r="OZ50" i="10" s="1"/>
  <c r="OI45" i="10" l="1"/>
  <c r="OI5" i="10"/>
  <c r="NR31" i="10"/>
  <c r="NR38" i="10" l="1"/>
  <c r="NZ38" i="10" s="1"/>
  <c r="OE38" i="10"/>
  <c r="OM38" i="10" s="1"/>
  <c r="NR37" i="10"/>
  <c r="NZ37" i="10" s="1"/>
  <c r="OE37" i="10"/>
  <c r="OM37" i="10" s="1"/>
  <c r="NR30" i="10"/>
  <c r="NZ31" i="10"/>
  <c r="OE31" i="10"/>
  <c r="OE5" i="10"/>
  <c r="OI30" i="10"/>
  <c r="NR36" i="10" l="1"/>
  <c r="NZ36" i="10" s="1"/>
  <c r="OE36" i="10"/>
  <c r="NZ30" i="10"/>
  <c r="OE9" i="10"/>
  <c r="OE30" i="10"/>
  <c r="NR35" i="10" l="1"/>
  <c r="NR44" i="10" s="1"/>
  <c r="NR47" i="10" s="1"/>
  <c r="OE35" i="10"/>
  <c r="OE18" i="10"/>
  <c r="OE21" i="10" s="1"/>
  <c r="OE23" i="10" s="1"/>
  <c r="NR50" i="10" s="1"/>
  <c r="OE44" i="10" l="1"/>
  <c r="OE47" i="10" s="1"/>
  <c r="OE50" i="10" s="1"/>
  <c r="OK45" i="10" l="1"/>
  <c r="OM45" i="10" s="1"/>
  <c r="OM19" i="10"/>
  <c r="OM33" i="10" l="1"/>
  <c r="OM7" i="10"/>
  <c r="OK5" i="10" l="1"/>
  <c r="OM5" i="10" l="1"/>
  <c r="OK30" i="10"/>
  <c r="OM31" i="10"/>
  <c r="OM30" i="10" l="1"/>
  <c r="OM10" i="10" l="1"/>
  <c r="OM12" i="10"/>
  <c r="OM11" i="10"/>
  <c r="OM36" i="10" l="1"/>
  <c r="OK9" i="10" l="1"/>
  <c r="OK18" i="10" l="1"/>
  <c r="OK21" i="10" s="1"/>
  <c r="OK35" i="10"/>
  <c r="OK23" i="10" l="1"/>
  <c r="OK44" i="10"/>
  <c r="OK47" i="10" s="1"/>
  <c r="OK50" i="10" l="1"/>
  <c r="NX50" i="10"/>
  <c r="NJ40" i="10" l="1"/>
  <c r="NJ39" i="10" l="1"/>
  <c r="NJ38" i="10"/>
  <c r="NH38" i="10"/>
  <c r="NH37" i="10"/>
  <c r="ND32" i="10"/>
  <c r="NB45" i="10" l="1"/>
  <c r="ND33" i="10"/>
  <c r="ND45" i="10"/>
  <c r="NF45" i="10"/>
  <c r="NF42" i="10"/>
  <c r="NB32" i="10"/>
  <c r="NL32" i="10" s="1"/>
  <c r="NL6" i="10"/>
  <c r="NH45" i="10"/>
  <c r="NJ33" i="10"/>
  <c r="NJ30" i="10" s="1"/>
  <c r="NJ5" i="10"/>
  <c r="NJ45" i="10" l="1"/>
  <c r="NL45" i="10" s="1"/>
  <c r="NL19" i="10"/>
  <c r="NB36" i="10" l="1"/>
  <c r="NH39" i="10"/>
  <c r="NL13" i="10"/>
  <c r="NL16" i="10"/>
  <c r="NH42" i="10"/>
  <c r="NL42" i="10" s="1"/>
  <c r="NL14" i="10" l="1"/>
  <c r="NF40" i="10"/>
  <c r="NF9" i="10"/>
  <c r="NF18" i="10" s="1"/>
  <c r="NF21" i="10" s="1"/>
  <c r="ND36" i="10"/>
  <c r="NL39" i="10"/>
  <c r="NL40" i="10" l="1"/>
  <c r="NF35" i="10"/>
  <c r="NF44" i="10" s="1"/>
  <c r="NF47" i="10" s="1"/>
  <c r="ND31" i="10"/>
  <c r="ND5" i="10"/>
  <c r="NJ37" i="10"/>
  <c r="NL11" i="10" l="1"/>
  <c r="NB38" i="10"/>
  <c r="NL10" i="10"/>
  <c r="ND37" i="10"/>
  <c r="ND9" i="10"/>
  <c r="NJ36" i="10"/>
  <c r="NJ9" i="10"/>
  <c r="NJ18" i="10" s="1"/>
  <c r="NJ21" i="10" s="1"/>
  <c r="ND38" i="10"/>
  <c r="ND30" i="10"/>
  <c r="NB31" i="10" l="1"/>
  <c r="NL31" i="10" s="1"/>
  <c r="NH33" i="10"/>
  <c r="NH30" i="10" s="1"/>
  <c r="NH5" i="10"/>
  <c r="NB37" i="10"/>
  <c r="NB35" i="10" s="1"/>
  <c r="NB9" i="10"/>
  <c r="NH36" i="10"/>
  <c r="NH35" i="10" s="1"/>
  <c r="NH9" i="10"/>
  <c r="NL12" i="10"/>
  <c r="NL38" i="10"/>
  <c r="NJ35" i="10"/>
  <c r="NJ44" i="10" s="1"/>
  <c r="NJ47" i="10" s="1"/>
  <c r="ND18" i="10"/>
  <c r="ND21" i="10" s="1"/>
  <c r="ND35" i="10"/>
  <c r="NL37" i="10" l="1"/>
  <c r="NH18" i="10"/>
  <c r="NH21" i="10" s="1"/>
  <c r="NH44" i="10"/>
  <c r="NH47" i="10" s="1"/>
  <c r="NL9" i="10"/>
  <c r="NL35" i="10"/>
  <c r="NL36" i="10"/>
  <c r="ND44" i="10"/>
  <c r="ND47" i="10" s="1"/>
  <c r="NB33" i="10" l="1"/>
  <c r="NB5" i="10"/>
  <c r="NL7" i="10"/>
  <c r="NL5" i="10" l="1"/>
  <c r="NL18" i="10" s="1"/>
  <c r="NL21" i="10" s="1"/>
  <c r="NB18" i="10"/>
  <c r="NB21" i="10" s="1"/>
  <c r="NL33" i="10"/>
  <c r="NB30" i="10"/>
  <c r="NB44" i="10" l="1"/>
  <c r="NB47" i="10" s="1"/>
  <c r="NL30" i="10"/>
  <c r="NL44" i="10" s="1"/>
  <c r="NL47" i="10" s="1"/>
  <c r="NB50" i="10" l="1"/>
  <c r="ND50" i="10" l="1"/>
  <c r="NH50" i="10" l="1"/>
  <c r="NJ50" i="10" l="1"/>
  <c r="NL50" i="10" s="1"/>
  <c r="NL23" i="10"/>
  <c r="MK14" i="10" l="1"/>
  <c r="MI40" i="10"/>
  <c r="MK40" i="10" s="1"/>
  <c r="LV40" i="10"/>
  <c r="LX40" i="10" s="1"/>
  <c r="MI39" i="10"/>
  <c r="LV39" i="10"/>
  <c r="MI38" i="10"/>
  <c r="LV38" i="10"/>
  <c r="MI36" i="10"/>
  <c r="LV36" i="10"/>
  <c r="MI45" i="10"/>
  <c r="LV45" i="10"/>
  <c r="MI9" i="10"/>
  <c r="MI37" i="10" l="1"/>
  <c r="MI35" i="10" s="1"/>
  <c r="LV37" i="10"/>
  <c r="LV35" i="10" s="1"/>
  <c r="MI33" i="10"/>
  <c r="MK7" i="10"/>
  <c r="MI5" i="10"/>
  <c r="MI18" i="10" s="1"/>
  <c r="MI21" i="10" s="1"/>
  <c r="MI23" i="10" s="1"/>
  <c r="LV33" i="10"/>
  <c r="LX33" i="10" l="1"/>
  <c r="LV30" i="10"/>
  <c r="LV44" i="10" s="1"/>
  <c r="LV47" i="10" s="1"/>
  <c r="LV50" i="10" s="1"/>
  <c r="MK33" i="10"/>
  <c r="MI30" i="10"/>
  <c r="MI44" i="10" s="1"/>
  <c r="MI47" i="10" s="1"/>
  <c r="MI50" i="10" s="1"/>
  <c r="OG42" i="10" l="1"/>
  <c r="OM42" i="10" s="1"/>
  <c r="NT42" i="10"/>
  <c r="NZ42" i="10" s="1"/>
  <c r="OM16" i="10"/>
  <c r="OI39" i="10"/>
  <c r="NV39" i="10"/>
  <c r="OI9" i="10"/>
  <c r="OI18" i="10" s="1"/>
  <c r="OI21" i="10" s="1"/>
  <c r="OI23" i="10" s="1"/>
  <c r="OM13" i="10"/>
  <c r="OG40" i="10"/>
  <c r="OM14" i="10"/>
  <c r="NT40" i="10"/>
  <c r="OG9" i="10"/>
  <c r="OM40" i="10" l="1"/>
  <c r="OG35" i="10"/>
  <c r="NV35" i="10"/>
  <c r="NV44" i="10" s="1"/>
  <c r="NV47" i="10" s="1"/>
  <c r="NZ39" i="10"/>
  <c r="OG18" i="10"/>
  <c r="OG21" i="10" s="1"/>
  <c r="OM9" i="10"/>
  <c r="OM18" i="10" s="1"/>
  <c r="OM21" i="10" s="1"/>
  <c r="NV50" i="10"/>
  <c r="NZ50" i="10" s="1"/>
  <c r="OM23" i="10"/>
  <c r="OM39" i="10"/>
  <c r="OI35" i="10"/>
  <c r="OI44" i="10" s="1"/>
  <c r="OI47" i="10" s="1"/>
  <c r="OI50" i="10" s="1"/>
  <c r="OM50" i="10" s="1"/>
  <c r="NZ40" i="10"/>
  <c r="NT35" i="10"/>
  <c r="NT44" i="10" l="1"/>
  <c r="NT47" i="10" s="1"/>
  <c r="NZ35" i="10"/>
  <c r="NZ44" i="10" s="1"/>
  <c r="NZ47" i="10" s="1"/>
  <c r="OG44" i="10"/>
  <c r="OG47" i="10" s="1"/>
  <c r="OM35" i="10"/>
  <c r="OM44" i="10" s="1"/>
  <c r="OM47" i="10" s="1"/>
  <c r="MC45" i="10" l="1"/>
  <c r="MK45" i="10" s="1"/>
  <c r="MK19" i="10"/>
  <c r="LP45" i="10"/>
  <c r="LX45" i="10" s="1"/>
  <c r="MK16" i="10" l="1"/>
  <c r="MG42" i="10"/>
  <c r="MK42" i="10" s="1"/>
  <c r="LT42" i="10"/>
  <c r="LX42" i="10" s="1"/>
  <c r="MC37" i="10" l="1"/>
  <c r="MK37" i="10" s="1"/>
  <c r="LP37" i="10"/>
  <c r="LX37" i="10" s="1"/>
  <c r="MK11" i="10"/>
  <c r="MC38" i="10" l="1"/>
  <c r="MK38" i="10" s="1"/>
  <c r="MK12" i="10"/>
  <c r="LP38" i="10"/>
  <c r="LX38" i="10" s="1"/>
  <c r="MG39" i="10"/>
  <c r="MK13" i="10"/>
  <c r="LT39" i="10"/>
  <c r="MG9" i="10"/>
  <c r="MG18" i="10" s="1"/>
  <c r="MG21" i="10" s="1"/>
  <c r="MG23" i="10" s="1"/>
  <c r="LT50" i="10" s="1"/>
  <c r="MC36" i="10"/>
  <c r="MC9" i="10"/>
  <c r="LP36" i="10"/>
  <c r="MK10" i="10"/>
  <c r="LP35" i="10" l="1"/>
  <c r="LX36" i="10"/>
  <c r="MK36" i="10"/>
  <c r="MC35" i="10"/>
  <c r="LT35" i="10"/>
  <c r="LT44" i="10" s="1"/>
  <c r="LT47" i="10" s="1"/>
  <c r="LX39" i="10"/>
  <c r="MK39" i="10"/>
  <c r="MG35" i="10"/>
  <c r="MG44" i="10" s="1"/>
  <c r="MG47" i="10" s="1"/>
  <c r="MG50" i="10" s="1"/>
  <c r="MK9" i="10"/>
  <c r="MK35" i="10" l="1"/>
  <c r="LX35" i="10"/>
  <c r="MC31" i="10" l="1"/>
  <c r="MC5" i="10"/>
  <c r="LP31" i="10"/>
  <c r="LP30" i="10" l="1"/>
  <c r="LX31" i="10"/>
  <c r="MK5" i="10"/>
  <c r="MK18" i="10" s="1"/>
  <c r="MK21" i="10" s="1"/>
  <c r="MC18" i="10"/>
  <c r="MC21" i="10" s="1"/>
  <c r="MC23" i="10" s="1"/>
  <c r="MC30" i="10"/>
  <c r="MK31" i="10"/>
  <c r="MK30" i="10" l="1"/>
  <c r="MK44" i="10" s="1"/>
  <c r="MK47" i="10" s="1"/>
  <c r="MC44" i="10"/>
  <c r="MC47" i="10" s="1"/>
  <c r="MC50" i="10" s="1"/>
  <c r="MK50" i="10" s="1"/>
  <c r="LP50" i="10"/>
  <c r="LX50" i="10" s="1"/>
  <c r="MK23" i="10"/>
  <c r="LX30" i="10"/>
  <c r="LX44" i="10" s="1"/>
  <c r="LX47" i="10" s="1"/>
  <c r="LP44" i="10"/>
  <c r="LP47" i="10" s="1"/>
  <c r="JZ35" i="10" l="1"/>
  <c r="JZ30" i="10"/>
  <c r="KT37" i="10"/>
  <c r="LH37" i="10"/>
  <c r="KT45" i="10"/>
  <c r="KV45" i="10" s="1"/>
  <c r="LH45" i="10"/>
  <c r="LJ45" i="10" s="1"/>
  <c r="LJ19" i="10"/>
  <c r="KH45" i="10" s="1"/>
  <c r="LH5" i="10"/>
  <c r="KT33" i="10"/>
  <c r="LJ7" i="10"/>
  <c r="KH33" i="10" s="1"/>
  <c r="LH33" i="10"/>
  <c r="LH38" i="10"/>
  <c r="KT38" i="10"/>
  <c r="LH39" i="10"/>
  <c r="KT39" i="10"/>
  <c r="KT40" i="10"/>
  <c r="KV40" i="10" s="1"/>
  <c r="LJ14" i="10"/>
  <c r="KH40" i="10" s="1"/>
  <c r="LH40" i="10"/>
  <c r="LJ40" i="10" s="1"/>
  <c r="LH36" i="10"/>
  <c r="LH9" i="10"/>
  <c r="JZ44" i="10" l="1"/>
  <c r="JZ47" i="10" s="1"/>
  <c r="LH18" i="10"/>
  <c r="LH21" i="10" s="1"/>
  <c r="LH23" i="10" s="1"/>
  <c r="LH35" i="10"/>
  <c r="KR42" i="10"/>
  <c r="KV42" i="10" s="1"/>
  <c r="LF42" i="10"/>
  <c r="LJ42" i="10" s="1"/>
  <c r="LJ16" i="10"/>
  <c r="KH42" i="10" s="1"/>
  <c r="KT30" i="10"/>
  <c r="KV33" i="10"/>
  <c r="LH30" i="10"/>
  <c r="LJ33" i="10"/>
  <c r="LH44" i="10" l="1"/>
  <c r="LH47" i="10" s="1"/>
  <c r="LH50" i="10"/>
  <c r="JX35" i="10" l="1"/>
  <c r="KN38" i="10"/>
  <c r="KV38" i="10" s="1"/>
  <c r="LB38" i="10"/>
  <c r="LJ38" i="10" s="1"/>
  <c r="LJ12" i="10"/>
  <c r="KH38" i="10" s="1"/>
  <c r="LJ13" i="10"/>
  <c r="KH39" i="10" s="1"/>
  <c r="LF39" i="10"/>
  <c r="KR39" i="10"/>
  <c r="LF9" i="10"/>
  <c r="LF18" i="10" s="1"/>
  <c r="LF21" i="10" s="1"/>
  <c r="LF23" i="10" s="1"/>
  <c r="KH50" i="10" s="1"/>
  <c r="JX44" i="10" l="1"/>
  <c r="JX47" i="10" s="1"/>
  <c r="KR35" i="10"/>
  <c r="KR44" i="10" s="1"/>
  <c r="KR47" i="10" s="1"/>
  <c r="KV39" i="10"/>
  <c r="LJ11" i="10"/>
  <c r="KH37" i="10" s="1"/>
  <c r="LB37" i="10"/>
  <c r="LJ37" i="10" s="1"/>
  <c r="KN37" i="10"/>
  <c r="LJ10" i="10"/>
  <c r="KN36" i="10"/>
  <c r="LB9" i="10"/>
  <c r="LJ9" i="10" s="1"/>
  <c r="LB36" i="10"/>
  <c r="LF35" i="10"/>
  <c r="LF44" i="10" s="1"/>
  <c r="LF47" i="10" s="1"/>
  <c r="LJ39" i="10"/>
  <c r="LF50" i="10"/>
  <c r="KR50" i="10"/>
  <c r="KB35" i="10" l="1"/>
  <c r="KH35" i="10" s="1"/>
  <c r="KH36" i="10"/>
  <c r="KN35" i="10"/>
  <c r="KV37" i="10"/>
  <c r="LB35" i="10"/>
  <c r="LJ36" i="10"/>
  <c r="LB31" i="10"/>
  <c r="LB5" i="10"/>
  <c r="KN31" i="10"/>
  <c r="KB30" i="10" l="1"/>
  <c r="KH31" i="10"/>
  <c r="KN30" i="10"/>
  <c r="KV31" i="10"/>
  <c r="LJ35" i="10"/>
  <c r="LB18" i="10"/>
  <c r="LB21" i="10" s="1"/>
  <c r="LB23" i="10" s="1"/>
  <c r="LJ5" i="10"/>
  <c r="LJ18" i="10" s="1"/>
  <c r="LJ21" i="10" s="1"/>
  <c r="LB30" i="10"/>
  <c r="LJ30" i="10" s="1"/>
  <c r="LJ31" i="10"/>
  <c r="KB44" i="10" l="1"/>
  <c r="KB47" i="10" s="1"/>
  <c r="KH30" i="10"/>
  <c r="KH44" i="10" s="1"/>
  <c r="KH47" i="10" s="1"/>
  <c r="LJ44" i="10"/>
  <c r="LJ47" i="10" s="1"/>
  <c r="KN50" i="10"/>
  <c r="LB50" i="10"/>
  <c r="LJ50" i="10" s="1"/>
  <c r="LJ23" i="10"/>
  <c r="LB44" i="10"/>
  <c r="LB47" i="10" s="1"/>
  <c r="KN44" i="10"/>
  <c r="KN47" i="10" s="1"/>
  <c r="KV30" i="10"/>
  <c r="KV10" i="10" l="1"/>
  <c r="KT9" i="10"/>
  <c r="KT36" i="10"/>
  <c r="JN35" i="10" l="1"/>
  <c r="JT36" i="10"/>
  <c r="KT18" i="10"/>
  <c r="KT21" i="10" s="1"/>
  <c r="KT23" i="10" s="1"/>
  <c r="KV9" i="10"/>
  <c r="KV18" i="10" s="1"/>
  <c r="KV21" i="10" s="1"/>
  <c r="KT35" i="10"/>
  <c r="KV36" i="10"/>
  <c r="JN44" i="10" l="1"/>
  <c r="JN47" i="10" s="1"/>
  <c r="JT35" i="10"/>
  <c r="KT44" i="10"/>
  <c r="KT47" i="10" s="1"/>
  <c r="KV35" i="10"/>
  <c r="KV44" i="10" s="1"/>
  <c r="KV47" i="10" s="1"/>
  <c r="KV23" i="10"/>
  <c r="KT50" i="10"/>
  <c r="KV50" i="10" s="1"/>
  <c r="IX31" i="10" l="1"/>
  <c r="IX33" i="10"/>
  <c r="JF33" i="10" l="1"/>
  <c r="JL33" i="10"/>
  <c r="JT33" i="10" s="1"/>
  <c r="JT7" i="10"/>
  <c r="JL31" i="10"/>
  <c r="JL5" i="10"/>
  <c r="JL30" i="10" l="1"/>
  <c r="JT31" i="10"/>
  <c r="IX30" i="10"/>
  <c r="JF31" i="10"/>
  <c r="JT5" i="10"/>
  <c r="JT18" i="10" s="1"/>
  <c r="JT21" i="10" s="1"/>
  <c r="JL18" i="10"/>
  <c r="JL21" i="10" s="1"/>
  <c r="JL23" i="10" s="1"/>
  <c r="IX50" i="10" s="1"/>
  <c r="JF50" i="10" s="1"/>
  <c r="JT23" i="10" l="1"/>
  <c r="JL50" i="10"/>
  <c r="JT50" i="10" s="1"/>
  <c r="IX44" i="10"/>
  <c r="IX47" i="10" s="1"/>
  <c r="JF30" i="10"/>
  <c r="JF44" i="10" s="1"/>
  <c r="JF47" i="10" s="1"/>
  <c r="JL44" i="10"/>
  <c r="JL47" i="10" s="1"/>
  <c r="JT30" i="10"/>
  <c r="JT44" i="10" s="1"/>
  <c r="JT47" i="10" s="1"/>
  <c r="HN45" i="10" l="1"/>
  <c r="HN38" i="10"/>
  <c r="HL38" i="10" l="1"/>
  <c r="HH36" i="10"/>
  <c r="HN36" i="10"/>
  <c r="HH45" i="10"/>
  <c r="HN33" i="10"/>
  <c r="HP7" i="10"/>
  <c r="HN5" i="10"/>
  <c r="HL45" i="10"/>
  <c r="HP45" i="10" l="1"/>
  <c r="HP19" i="10"/>
  <c r="HN30" i="10"/>
  <c r="HP33" i="10"/>
  <c r="HN42" i="10" l="1"/>
  <c r="HH38" i="10"/>
  <c r="HL39" i="10" l="1"/>
  <c r="HN40" i="10"/>
  <c r="HP40" i="10" s="1"/>
  <c r="HP14" i="10"/>
  <c r="HH37" i="10"/>
  <c r="HH35" i="10" s="1"/>
  <c r="HH9" i="10"/>
  <c r="HF36" i="10" l="1"/>
  <c r="HP10" i="10"/>
  <c r="HF37" i="10"/>
  <c r="HP36" i="10" l="1"/>
  <c r="HF38" i="10" l="1"/>
  <c r="HP12" i="10"/>
  <c r="HF9" i="10"/>
  <c r="HF31" i="10"/>
  <c r="HF5" i="10"/>
  <c r="HF18" i="10" l="1"/>
  <c r="HF21" i="10" s="1"/>
  <c r="HF23" i="10" s="1"/>
  <c r="HF30" i="10"/>
  <c r="HL42" i="10"/>
  <c r="HP42" i="10" s="1"/>
  <c r="HP16" i="10"/>
  <c r="HH31" i="10"/>
  <c r="HH30" i="10" s="1"/>
  <c r="HH44" i="10" s="1"/>
  <c r="HH47" i="10" s="1"/>
  <c r="HH5" i="10"/>
  <c r="HH18" i="10" s="1"/>
  <c r="HH21" i="10" s="1"/>
  <c r="HH23" i="10" s="1"/>
  <c r="HH50" i="10" s="1"/>
  <c r="HP38" i="10"/>
  <c r="HF35" i="10"/>
  <c r="HF44" i="10" l="1"/>
  <c r="HF47" i="10" s="1"/>
  <c r="HP30" i="10"/>
  <c r="HP31" i="10"/>
  <c r="HF50" i="10"/>
  <c r="HP5" i="10"/>
  <c r="HN37" i="10" l="1"/>
  <c r="HP11" i="10"/>
  <c r="HN39" i="10" l="1"/>
  <c r="HP39" i="10" s="1"/>
  <c r="HP13" i="10"/>
  <c r="HN9" i="10"/>
  <c r="HN18" i="10" s="1"/>
  <c r="HN21" i="10" s="1"/>
  <c r="HN23" i="10" s="1"/>
  <c r="HN50" i="10" s="1"/>
  <c r="HP37" i="10"/>
  <c r="HN35" i="10" l="1"/>
  <c r="HN44" i="10" s="1"/>
  <c r="HN47" i="10" s="1"/>
  <c r="HL41" i="10" l="1"/>
  <c r="HP15" i="10"/>
  <c r="HL9" i="10"/>
  <c r="HL18" i="10" l="1"/>
  <c r="HL21" i="10" s="1"/>
  <c r="HP9" i="10"/>
  <c r="HP18" i="10" s="1"/>
  <c r="HP21" i="10" s="1"/>
  <c r="HP41" i="10"/>
  <c r="HL35" i="10"/>
  <c r="HL44" i="10" l="1"/>
  <c r="HL47" i="10" s="1"/>
  <c r="HP35" i="10"/>
  <c r="HP44" i="10" s="1"/>
  <c r="HP47" i="10" s="1"/>
  <c r="HL50" i="10"/>
  <c r="HP50" i="10" s="1"/>
  <c r="HP23" i="10"/>
  <c r="GZ45" i="10" l="1"/>
  <c r="GZ38" i="10"/>
  <c r="GR32" i="10" l="1"/>
  <c r="HB32" i="10" s="1"/>
  <c r="HB6" i="10"/>
  <c r="GZ33" i="10"/>
  <c r="GZ5" i="10"/>
  <c r="HB7" i="10"/>
  <c r="HB33" i="10" l="1"/>
  <c r="GZ30" i="10"/>
  <c r="GX41" i="10"/>
  <c r="HB41" i="10" s="1"/>
  <c r="HB15" i="10"/>
  <c r="GR31" i="10"/>
  <c r="GR5" i="10"/>
  <c r="GR30" i="10" l="1"/>
  <c r="GZ37" i="10" l="1"/>
  <c r="GZ39" i="10"/>
  <c r="GZ42" i="10"/>
  <c r="GX45" i="10" l="1"/>
  <c r="GZ40" i="10"/>
  <c r="HB40" i="10" s="1"/>
  <c r="HB14" i="10"/>
  <c r="GT38" i="10"/>
  <c r="GT37" i="10"/>
  <c r="GZ36" i="10"/>
  <c r="GZ9" i="10"/>
  <c r="GZ18" i="10" s="1"/>
  <c r="GZ21" i="10" s="1"/>
  <c r="GZ23" i="10" s="1"/>
  <c r="GZ35" i="10" l="1"/>
  <c r="GZ44" i="10" s="1"/>
  <c r="GZ47" i="10" s="1"/>
  <c r="GZ50" i="10" s="1"/>
  <c r="GX38" i="10"/>
  <c r="GR36" i="10"/>
  <c r="HB10" i="10"/>
  <c r="GX9" i="10"/>
  <c r="GX18" i="10" s="1"/>
  <c r="GX21" i="10" s="1"/>
  <c r="GT45" i="10"/>
  <c r="HB45" i="10" s="1"/>
  <c r="HB19" i="10"/>
  <c r="GT36" i="10"/>
  <c r="GT35" i="10" s="1"/>
  <c r="GT9" i="10"/>
  <c r="HB36" i="10" l="1"/>
  <c r="GR37" i="10"/>
  <c r="HB37" i="10" s="1"/>
  <c r="HB11" i="10"/>
  <c r="GX42" i="10"/>
  <c r="HB42" i="10" s="1"/>
  <c r="HB16" i="10"/>
  <c r="GX39" i="10"/>
  <c r="HB39" i="10" s="1"/>
  <c r="HB13" i="10"/>
  <c r="GX35" i="10" l="1"/>
  <c r="GX44" i="10" s="1"/>
  <c r="GX47" i="10" s="1"/>
  <c r="GX50" i="10" s="1"/>
  <c r="GT31" i="10" l="1"/>
  <c r="GT5" i="10"/>
  <c r="GT30" i="10" l="1"/>
  <c r="HB31" i="10"/>
  <c r="GR38" i="10"/>
  <c r="HB12" i="10"/>
  <c r="GR9" i="10"/>
  <c r="HB5" i="10"/>
  <c r="GT18" i="10"/>
  <c r="GT21" i="10" s="1"/>
  <c r="GT23" i="10" s="1"/>
  <c r="HB9" i="10" l="1"/>
  <c r="HB18" i="10" s="1"/>
  <c r="HB21" i="10" s="1"/>
  <c r="GR18" i="10"/>
  <c r="GR21" i="10" s="1"/>
  <c r="GR23" i="10" s="1"/>
  <c r="HB38" i="10"/>
  <c r="GR35" i="10"/>
  <c r="HB30" i="10"/>
  <c r="GT44" i="10"/>
  <c r="GT47" i="10" s="1"/>
  <c r="GT50" i="10" s="1"/>
  <c r="HB35" i="10" l="1"/>
  <c r="HB44" i="10" s="1"/>
  <c r="HB47" i="10" s="1"/>
  <c r="GR44" i="10"/>
  <c r="GR47" i="10" s="1"/>
  <c r="GR50" i="10" s="1"/>
  <c r="HB50" i="10" s="1"/>
  <c r="HB23" i="10" l="1"/>
  <c r="ET36" i="10" l="1"/>
  <c r="FH36" i="10" l="1"/>
  <c r="FH41" i="10" l="1"/>
  <c r="FL41" i="10" s="1"/>
  <c r="ET40" i="10" l="1"/>
  <c r="ET37" i="10"/>
  <c r="FH37" i="10" l="1"/>
  <c r="FH40" i="10"/>
  <c r="FL14" i="10"/>
  <c r="ET33" i="10" l="1"/>
  <c r="ET30" i="10" s="1"/>
  <c r="FH33" i="10" l="1"/>
  <c r="FH5" i="10"/>
  <c r="FH30" i="10" l="1"/>
  <c r="FX45" i="10" l="1"/>
  <c r="FX38" i="10" l="1"/>
  <c r="FJ38" i="10"/>
  <c r="FX39" i="10"/>
  <c r="FP45" i="10"/>
  <c r="FZ19" i="10"/>
  <c r="FV45" i="10"/>
  <c r="FX37" i="10"/>
  <c r="FX36" i="10"/>
  <c r="FX9" i="10"/>
  <c r="FZ14" i="10"/>
  <c r="FX40" i="10"/>
  <c r="FZ40" i="10" s="1"/>
  <c r="FJ40" i="10"/>
  <c r="FL40" i="10" s="1"/>
  <c r="FR45" i="10"/>
  <c r="FR38" i="10" l="1"/>
  <c r="FR37" i="10"/>
  <c r="FZ45" i="10"/>
  <c r="FZ16" i="10"/>
  <c r="FV42" i="10"/>
  <c r="FZ42" i="10" s="1"/>
  <c r="FX35" i="10"/>
  <c r="FV39" i="10"/>
  <c r="FZ39" i="10" s="1"/>
  <c r="FZ13" i="10"/>
  <c r="FX33" i="10"/>
  <c r="FX5" i="10"/>
  <c r="FX18" i="10" s="1"/>
  <c r="FX21" i="10" s="1"/>
  <c r="FX23" i="10" s="1"/>
  <c r="FZ7" i="10"/>
  <c r="FX50" i="10" l="1"/>
  <c r="FX30" i="10"/>
  <c r="FX44" i="10" s="1"/>
  <c r="FX47" i="10" s="1"/>
  <c r="FZ33" i="10"/>
  <c r="FR36" i="10"/>
  <c r="FR35" i="10" s="1"/>
  <c r="FR9" i="10"/>
  <c r="FP37" i="10" l="1"/>
  <c r="FZ37" i="10" s="1"/>
  <c r="FZ11" i="10"/>
  <c r="FB32" i="10" l="1"/>
  <c r="FL32" i="10" s="1"/>
  <c r="FZ6" i="10"/>
  <c r="FP32" i="10"/>
  <c r="FZ32" i="10" s="1"/>
  <c r="FP5" i="10" l="1"/>
  <c r="FP31" i="10"/>
  <c r="FP30" i="10" l="1"/>
  <c r="FP36" i="10" l="1"/>
  <c r="FZ10" i="10"/>
  <c r="FZ36" i="10" l="1"/>
  <c r="FR5" i="10" l="1"/>
  <c r="FR31" i="10"/>
  <c r="FV38" i="10"/>
  <c r="FV35" i="10" s="1"/>
  <c r="FV44" i="10" s="1"/>
  <c r="FV47" i="10" s="1"/>
  <c r="FV9" i="10"/>
  <c r="FV18" i="10" s="1"/>
  <c r="FV21" i="10" s="1"/>
  <c r="FV23" i="10" s="1"/>
  <c r="FZ12" i="10" l="1"/>
  <c r="FP38" i="10"/>
  <c r="FP9" i="10"/>
  <c r="FV50" i="10"/>
  <c r="FR30" i="10"/>
  <c r="FZ31" i="10"/>
  <c r="FR18" i="10"/>
  <c r="FR21" i="10" s="1"/>
  <c r="FR23" i="10" s="1"/>
  <c r="FZ5" i="10"/>
  <c r="FZ9" i="10" l="1"/>
  <c r="FZ18" i="10" s="1"/>
  <c r="FZ21" i="10" s="1"/>
  <c r="FP18" i="10"/>
  <c r="FP21" i="10" s="1"/>
  <c r="FP23" i="10" s="1"/>
  <c r="FZ38" i="10"/>
  <c r="FP35" i="10"/>
  <c r="FR44" i="10"/>
  <c r="FR47" i="10" s="1"/>
  <c r="FZ30" i="10"/>
  <c r="FR50" i="10"/>
  <c r="FZ35" i="10" l="1"/>
  <c r="FZ44" i="10" s="1"/>
  <c r="FZ47" i="10" s="1"/>
  <c r="FP44" i="10"/>
  <c r="FP47" i="10" s="1"/>
  <c r="FZ23" i="10"/>
  <c r="FP50" i="10"/>
  <c r="FZ50" i="10" s="1"/>
  <c r="FH38" i="10" l="1"/>
  <c r="FL7" i="10" l="1"/>
  <c r="FJ5" i="10"/>
  <c r="FJ33" i="10"/>
  <c r="FJ39" i="10" l="1"/>
  <c r="FD37" i="10"/>
  <c r="FJ37" i="10"/>
  <c r="FD38" i="10"/>
  <c r="FJ45" i="10"/>
  <c r="FJ9" i="10"/>
  <c r="FJ18" i="10" s="1"/>
  <c r="FJ21" i="10" s="1"/>
  <c r="FJ23" i="10" s="1"/>
  <c r="FJ36" i="10"/>
  <c r="FD9" i="10"/>
  <c r="FD36" i="10"/>
  <c r="FJ30" i="10"/>
  <c r="FL33" i="10"/>
  <c r="FB36" i="10"/>
  <c r="FL10" i="10"/>
  <c r="FD35" i="10" l="1"/>
  <c r="FJ50" i="10"/>
  <c r="FJ35" i="10"/>
  <c r="FJ44" i="10" s="1"/>
  <c r="FJ47" i="10" s="1"/>
  <c r="FH39" i="10"/>
  <c r="FL13" i="10"/>
  <c r="FL36" i="10"/>
  <c r="FB38" i="10"/>
  <c r="FL38" i="10" s="1"/>
  <c r="FL12" i="10"/>
  <c r="FB9" i="10"/>
  <c r="FB37" i="10"/>
  <c r="FL37" i="10" s="1"/>
  <c r="FL11" i="10"/>
  <c r="FB35" i="10" l="1"/>
  <c r="FL39" i="10"/>
  <c r="FH45" i="10" l="1"/>
  <c r="FD45" i="10"/>
  <c r="FL19" i="10"/>
  <c r="FB45" i="10"/>
  <c r="FL16" i="10"/>
  <c r="FH42" i="10"/>
  <c r="FH9" i="10"/>
  <c r="FL45" i="10" l="1"/>
  <c r="FH18" i="10"/>
  <c r="FH21" i="10" s="1"/>
  <c r="FL9" i="10"/>
  <c r="FL42" i="10"/>
  <c r="FH35" i="10"/>
  <c r="FH44" i="10" l="1"/>
  <c r="FH47" i="10" s="1"/>
  <c r="FL35" i="10"/>
  <c r="FB5" i="10" l="1"/>
  <c r="FB31" i="10"/>
  <c r="FD31" i="10" l="1"/>
  <c r="FD30" i="10" s="1"/>
  <c r="FD44" i="10" s="1"/>
  <c r="FD47" i="10" s="1"/>
  <c r="FD5" i="10"/>
  <c r="FD18" i="10" s="1"/>
  <c r="FD21" i="10" s="1"/>
  <c r="FD23" i="10" s="1"/>
  <c r="FD50" i="10" s="1"/>
  <c r="FB30" i="10"/>
  <c r="FL31" i="10"/>
  <c r="FB18" i="10"/>
  <c r="FB21" i="10" s="1"/>
  <c r="FB23" i="10" s="1"/>
  <c r="FL5" i="10" l="1"/>
  <c r="FL18" i="10" s="1"/>
  <c r="FL21" i="10" s="1"/>
  <c r="FB44" i="10"/>
  <c r="FB47" i="10" s="1"/>
  <c r="FL30" i="10"/>
  <c r="FL44" i="10" s="1"/>
  <c r="FL47" i="10" s="1"/>
  <c r="FB50" i="10"/>
  <c r="FH50" i="10" l="1"/>
  <c r="FL50" i="10" s="1"/>
  <c r="FL23" i="10"/>
  <c r="EH40" i="10" l="1"/>
  <c r="EJ40" i="10" s="1"/>
  <c r="EV40" i="10" l="1"/>
  <c r="EX40" i="10" s="1"/>
  <c r="EX14" i="10"/>
  <c r="EH42" i="10" l="1"/>
  <c r="EH39" i="10"/>
  <c r="EH37" i="10"/>
  <c r="EH36" i="10"/>
  <c r="EF38" i="10"/>
  <c r="EH45" i="10"/>
  <c r="EF45" i="10"/>
  <c r="EB45" i="10"/>
  <c r="EV45" i="10" l="1"/>
  <c r="EP45" i="10"/>
  <c r="ET45" i="10"/>
  <c r="EV37" i="10"/>
  <c r="EV39" i="10"/>
  <c r="EV42" i="10"/>
  <c r="EV36" i="10"/>
  <c r="EH38" i="10"/>
  <c r="EH35" i="10" s="1"/>
  <c r="ET38" i="10"/>
  <c r="EF39" i="10"/>
  <c r="EJ39" i="10" s="1"/>
  <c r="DZ45" i="10"/>
  <c r="EJ45" i="10" s="1"/>
  <c r="EV38" i="10" l="1"/>
  <c r="EV35" i="10" s="1"/>
  <c r="EX19" i="10"/>
  <c r="EN45" i="10"/>
  <c r="EX45" i="10" s="1"/>
  <c r="EX13" i="10"/>
  <c r="ET39" i="10"/>
  <c r="EX39" i="10" s="1"/>
  <c r="EV9" i="10"/>
  <c r="EB36" i="10" l="1"/>
  <c r="DZ32" i="10" l="1"/>
  <c r="EJ32" i="10" s="1"/>
  <c r="EP36" i="10"/>
  <c r="EN32" i="10" l="1"/>
  <c r="EX32" i="10" s="1"/>
  <c r="EX6" i="10"/>
  <c r="DZ36" i="10" l="1"/>
  <c r="EB37" i="10"/>
  <c r="EB38" i="10"/>
  <c r="DZ37" i="10"/>
  <c r="EJ37" i="10" l="1"/>
  <c r="EB35" i="10"/>
  <c r="EJ36" i="10"/>
  <c r="EP38" i="10"/>
  <c r="EP37" i="10"/>
  <c r="EP9" i="10"/>
  <c r="EX11" i="10"/>
  <c r="EN37" i="10"/>
  <c r="EX10" i="10"/>
  <c r="EN36" i="10"/>
  <c r="EP35" i="10" l="1"/>
  <c r="EX37" i="10"/>
  <c r="EX36" i="10"/>
  <c r="EF42" i="10" l="1"/>
  <c r="EJ42" i="10" l="1"/>
  <c r="EF35" i="10"/>
  <c r="EF44" i="10" s="1"/>
  <c r="EF47" i="10" s="1"/>
  <c r="EX16" i="10"/>
  <c r="ET42" i="10"/>
  <c r="ET9" i="10"/>
  <c r="ET18" i="10" s="1"/>
  <c r="ET21" i="10" s="1"/>
  <c r="EX42" i="10" l="1"/>
  <c r="ET35" i="10"/>
  <c r="ET44" i="10" s="1"/>
  <c r="ET47" i="10" s="1"/>
  <c r="ET50" i="10" s="1"/>
  <c r="DZ31" i="10" l="1"/>
  <c r="DZ30" i="10" l="1"/>
  <c r="EN5" i="10"/>
  <c r="EN31" i="10"/>
  <c r="EB31" i="10"/>
  <c r="EB30" i="10" s="1"/>
  <c r="EB44" i="10" s="1"/>
  <c r="EB47" i="10" s="1"/>
  <c r="EB50" i="10" s="1"/>
  <c r="EJ31" i="10" l="1"/>
  <c r="EP5" i="10"/>
  <c r="EP18" i="10" s="1"/>
  <c r="EP21" i="10" s="1"/>
  <c r="EP23" i="10" s="1"/>
  <c r="EP31" i="10"/>
  <c r="EP30" i="10" s="1"/>
  <c r="EP44" i="10" s="1"/>
  <c r="EP47" i="10" s="1"/>
  <c r="EP50" i="10" s="1"/>
  <c r="DZ38" i="10"/>
  <c r="EN30" i="10"/>
  <c r="EJ38" i="10" l="1"/>
  <c r="DZ35" i="10"/>
  <c r="EX31" i="10"/>
  <c r="EX12" i="10"/>
  <c r="EN38" i="10"/>
  <c r="EN9" i="10"/>
  <c r="EJ35" i="10" l="1"/>
  <c r="DZ44" i="10"/>
  <c r="DZ47" i="10" s="1"/>
  <c r="DZ50" i="10" s="1"/>
  <c r="EX9" i="10"/>
  <c r="EN18" i="10"/>
  <c r="EN21" i="10" s="1"/>
  <c r="EN23" i="10" s="1"/>
  <c r="EX38" i="10"/>
  <c r="EN35" i="10"/>
  <c r="EX35" i="10" l="1"/>
  <c r="EN44" i="10"/>
  <c r="EN47" i="10" s="1"/>
  <c r="EN50" i="10" s="1"/>
  <c r="EF50" i="10" l="1"/>
  <c r="EH33" i="10" l="1"/>
  <c r="EH30" i="10" l="1"/>
  <c r="EJ33" i="10"/>
  <c r="EV33" i="10"/>
  <c r="EX7" i="10"/>
  <c r="EV5" i="10"/>
  <c r="EH44" i="10" l="1"/>
  <c r="EH47" i="10" s="1"/>
  <c r="EJ30" i="10"/>
  <c r="EJ44" i="10" s="1"/>
  <c r="EJ47" i="10" s="1"/>
  <c r="EV18" i="10"/>
  <c r="EV21" i="10" s="1"/>
  <c r="EX5" i="10"/>
  <c r="EX18" i="10" s="1"/>
  <c r="EX21" i="10" s="1"/>
  <c r="EX33" i="10"/>
  <c r="EV30" i="10"/>
  <c r="EH50" i="10" l="1"/>
  <c r="EJ50" i="10" s="1"/>
  <c r="EV44" i="10"/>
  <c r="EV47" i="10" s="1"/>
  <c r="EX30" i="10"/>
  <c r="EX44" i="10" s="1"/>
  <c r="EX47" i="10" s="1"/>
  <c r="EX23" i="10"/>
  <c r="EV50" i="10" l="1"/>
  <c r="EX50" i="10" s="1"/>
  <c r="GL38" i="10" l="1"/>
  <c r="GD45" i="10" l="1"/>
  <c r="GL37" i="10"/>
  <c r="GL36" i="10" l="1"/>
  <c r="GL33" i="10" l="1"/>
  <c r="GL5" i="10"/>
  <c r="GN7" i="10"/>
  <c r="GN33" i="10" l="1"/>
  <c r="GL30" i="10"/>
  <c r="GL39" i="10" l="1"/>
  <c r="GL9" i="10"/>
  <c r="GL18" i="10" s="1"/>
  <c r="GL40" i="10"/>
  <c r="GN40" i="10" s="1"/>
  <c r="GN14" i="10"/>
  <c r="GD32" i="10"/>
  <c r="GN32" i="10" s="1"/>
  <c r="GN6" i="10"/>
  <c r="GF37" i="10"/>
  <c r="GF38" i="10"/>
  <c r="GJ42" i="10" l="1"/>
  <c r="GN42" i="10" s="1"/>
  <c r="GN16" i="10"/>
  <c r="GF45" i="10"/>
  <c r="GD31" i="10"/>
  <c r="GD5" i="10"/>
  <c r="GL35" i="10"/>
  <c r="GL44" i="10" s="1"/>
  <c r="GD36" i="10" l="1"/>
  <c r="GD9" i="10"/>
  <c r="GD30" i="10"/>
  <c r="GD38" i="10"/>
  <c r="GJ39" i="10"/>
  <c r="GN39" i="10" s="1"/>
  <c r="GN13" i="10"/>
  <c r="GD37" i="10"/>
  <c r="GN37" i="10" s="1"/>
  <c r="GN11" i="10"/>
  <c r="GF31" i="10"/>
  <c r="GF30" i="10" s="1"/>
  <c r="GF5" i="10"/>
  <c r="GN31" i="10" l="1"/>
  <c r="GN30" i="10"/>
  <c r="GD35" i="10"/>
  <c r="GN5" i="10"/>
  <c r="GD18" i="10"/>
  <c r="GD21" i="10" s="1"/>
  <c r="GD23" i="10" s="1"/>
  <c r="GD44" i="10" l="1"/>
  <c r="GD47" i="10" s="1"/>
  <c r="GD50" i="10" s="1"/>
  <c r="GL45" i="10" l="1"/>
  <c r="GL47" i="10" s="1"/>
  <c r="GL50" i="10" s="1"/>
  <c r="GL21" i="10"/>
  <c r="GL23" i="10" s="1"/>
  <c r="GF36" i="10" l="1"/>
  <c r="GF9" i="10"/>
  <c r="GN10" i="10"/>
  <c r="GF18" i="10" l="1"/>
  <c r="GF21" i="10" s="1"/>
  <c r="GF23" i="10" s="1"/>
  <c r="GF35" i="10"/>
  <c r="GN36" i="10"/>
  <c r="GF44" i="10" l="1"/>
  <c r="GF47" i="10" s="1"/>
  <c r="GF50" i="10" s="1"/>
  <c r="GJ45" i="10" l="1"/>
  <c r="GN45" i="10" s="1"/>
  <c r="GN19" i="10"/>
  <c r="GJ38" i="10"/>
  <c r="GN12" i="10"/>
  <c r="GN38" i="10" l="1"/>
  <c r="GJ41" i="10" l="1"/>
  <c r="GN15" i="10"/>
  <c r="GJ9" i="10"/>
  <c r="GJ18" i="10" l="1"/>
  <c r="GJ21" i="10" s="1"/>
  <c r="GN9" i="10"/>
  <c r="GN18" i="10" s="1"/>
  <c r="GN21" i="10" s="1"/>
  <c r="GN41" i="10"/>
  <c r="GJ35" i="10"/>
  <c r="GN23" i="10"/>
  <c r="GJ44" i="10" l="1"/>
  <c r="GJ47" i="10" s="1"/>
  <c r="GJ50" i="10" s="1"/>
  <c r="GN50" i="10" s="1"/>
  <c r="GN35" i="10"/>
  <c r="GN44" i="10" s="1"/>
  <c r="GN47" i="10" s="1"/>
  <c r="DF40" i="10" l="1"/>
  <c r="DT39" i="10" l="1"/>
  <c r="DL35" i="10"/>
  <c r="DV7" i="10"/>
  <c r="DT5" i="10"/>
  <c r="DT9" i="10"/>
  <c r="DT40" i="10"/>
  <c r="DV40" i="10" s="1"/>
  <c r="DV14" i="10"/>
  <c r="DV19" i="10"/>
  <c r="DV45" i="10" l="1"/>
  <c r="DV10" i="10"/>
  <c r="DT18" i="10"/>
  <c r="DT21" i="10" s="1"/>
  <c r="DL9" i="10"/>
  <c r="DR39" i="10"/>
  <c r="DV39" i="10" s="1"/>
  <c r="DV13" i="10"/>
  <c r="DF41" i="10"/>
  <c r="DV33" i="10"/>
  <c r="DT30" i="10"/>
  <c r="DT35" i="10"/>
  <c r="DV36" i="10"/>
  <c r="DT44" i="10" l="1"/>
  <c r="DT47" i="10" s="1"/>
  <c r="DR41" i="10"/>
  <c r="DV15" i="10"/>
  <c r="DR9" i="10"/>
  <c r="DR18" i="10" s="1"/>
  <c r="DR21" i="10" s="1"/>
  <c r="DJ32" i="10"/>
  <c r="DV32" i="10" s="1"/>
  <c r="DV6" i="10"/>
  <c r="DV41" i="10" l="1"/>
  <c r="DR35" i="10"/>
  <c r="DR44" i="10" s="1"/>
  <c r="DR47" i="10" s="1"/>
  <c r="DL30" i="10" l="1"/>
  <c r="DL44" i="10" s="1"/>
  <c r="DL47" i="10" s="1"/>
  <c r="DL5" i="10"/>
  <c r="DL18" i="10" s="1"/>
  <c r="DL21" i="10" s="1"/>
  <c r="DV11" i="10" l="1"/>
  <c r="DV37" i="10" l="1"/>
  <c r="DJ31" i="10" l="1"/>
  <c r="DJ5" i="10"/>
  <c r="DV5" i="10" l="1"/>
  <c r="DJ30" i="10"/>
  <c r="DV31" i="10"/>
  <c r="DV30" i="10" l="1"/>
  <c r="DV12" i="10" l="1"/>
  <c r="DJ9" i="10"/>
  <c r="DV9" i="10" l="1"/>
  <c r="DV18" i="10" s="1"/>
  <c r="DJ18" i="10"/>
  <c r="DJ21" i="10" s="1"/>
  <c r="DV21" i="10" s="1"/>
  <c r="DV38" i="10"/>
  <c r="DJ35" i="10"/>
  <c r="DV35" i="10" l="1"/>
  <c r="DV44" i="10" s="1"/>
  <c r="DJ44" i="10"/>
  <c r="DV50" i="10" l="1"/>
  <c r="DJ47" i="10"/>
  <c r="DV47" i="10" s="1"/>
  <c r="CF30" i="10" l="1"/>
  <c r="CP33" i="10" l="1"/>
  <c r="CN30" i="10"/>
  <c r="DF7" i="10"/>
  <c r="DD5" i="10"/>
  <c r="CV5" i="10"/>
  <c r="CV30" i="10"/>
  <c r="DD9" i="10"/>
  <c r="CN35" i="10" l="1"/>
  <c r="CN44" i="10" s="1"/>
  <c r="CN47" i="10" s="1"/>
  <c r="DD35" i="10"/>
  <c r="DD30" i="10"/>
  <c r="DF33" i="10"/>
  <c r="DD18" i="10"/>
  <c r="DD21" i="10" s="1"/>
  <c r="DD44" i="10" l="1"/>
  <c r="DD47" i="10" s="1"/>
  <c r="CF35" i="10" l="1"/>
  <c r="CF44" i="10" s="1"/>
  <c r="CV35" i="10"/>
  <c r="CV44" i="10" s="1"/>
  <c r="CV9" i="10"/>
  <c r="CV18" i="10" s="1"/>
  <c r="CF47" i="10" l="1"/>
  <c r="CV21" i="10"/>
  <c r="CV47" i="10"/>
  <c r="CP45" i="10" l="1"/>
  <c r="CP39" i="10" l="1"/>
  <c r="CP38" i="10"/>
  <c r="DF13" i="10"/>
  <c r="DF19" i="10"/>
  <c r="DF45" i="10"/>
  <c r="CP36" i="10" l="1"/>
  <c r="DF39" i="10"/>
  <c r="DF10" i="10"/>
  <c r="DF12" i="10"/>
  <c r="DF38" i="10"/>
  <c r="CP42" i="10" l="1"/>
  <c r="CL35" i="10"/>
  <c r="CL44" i="10" s="1"/>
  <c r="CL47" i="10" s="1"/>
  <c r="DF36" i="10"/>
  <c r="DF16" i="10"/>
  <c r="DB9" i="10"/>
  <c r="DB18" i="10" s="1"/>
  <c r="DB21" i="10" s="1"/>
  <c r="DF42" i="10" l="1"/>
  <c r="DB35" i="10"/>
  <c r="DB44" i="10" s="1"/>
  <c r="DB47" i="10" s="1"/>
  <c r="CT31" i="10" l="1"/>
  <c r="CD32" i="10"/>
  <c r="CP32" i="10" s="1"/>
  <c r="DF6" i="10" l="1"/>
  <c r="CT32" i="10"/>
  <c r="DF32" i="10" s="1"/>
  <c r="DF31" i="10"/>
  <c r="CT5" i="10"/>
  <c r="CT30" i="10" l="1"/>
  <c r="DF30" i="10" s="1"/>
  <c r="CP37" i="10"/>
  <c r="CD35" i="10"/>
  <c r="CP35" i="10" s="1"/>
  <c r="DF11" i="10"/>
  <c r="CT9" i="10"/>
  <c r="DF9" i="10" s="1"/>
  <c r="DF5" i="10"/>
  <c r="DF18" i="10" l="1"/>
  <c r="CT18" i="10"/>
  <c r="CT21" i="10" s="1"/>
  <c r="DF37" i="10"/>
  <c r="CT35" i="10"/>
  <c r="DF23" i="10" l="1"/>
  <c r="DF21" i="10"/>
  <c r="CT44" i="10"/>
  <c r="CT47" i="10" s="1"/>
  <c r="DF35" i="10"/>
  <c r="DF44" i="10" s="1"/>
  <c r="DF50" i="10" l="1"/>
  <c r="DF47" i="10"/>
  <c r="CD31" i="10" l="1"/>
  <c r="CP31" i="10" l="1"/>
  <c r="CD30" i="10"/>
  <c r="CD5" i="10"/>
  <c r="CP30" i="10" l="1"/>
  <c r="CP44" i="10" s="1"/>
  <c r="CD44" i="10"/>
  <c r="CD47" i="10" s="1"/>
  <c r="CD18" i="10"/>
  <c r="CD21" i="10" s="1"/>
  <c r="CP5" i="10"/>
  <c r="CP18" i="10" s="1"/>
  <c r="CP50" i="10" l="1"/>
  <c r="CP47" i="10"/>
  <c r="CP23" i="10"/>
  <c r="CP21" i="10"/>
  <c r="BZ7" i="10" l="1"/>
  <c r="BX5" i="10"/>
  <c r="BX30" i="10" l="1"/>
  <c r="BZ33" i="10"/>
  <c r="BP30" i="10" l="1"/>
  <c r="BP5" i="10"/>
  <c r="BZ11" i="10" l="1"/>
  <c r="BZ37" i="10"/>
  <c r="BZ42" i="10" l="1"/>
  <c r="BZ16" i="10"/>
  <c r="BN9" i="10"/>
  <c r="BN35" i="10" l="1"/>
  <c r="BX35" i="10" l="1"/>
  <c r="BX44" i="10" s="1"/>
  <c r="BX47" i="10" s="1"/>
  <c r="BX9" i="10"/>
  <c r="BX18" i="10" s="1"/>
  <c r="BX21" i="10" s="1"/>
  <c r="BZ39" i="10" l="1"/>
  <c r="BZ13" i="10"/>
  <c r="BZ32" i="10" l="1"/>
  <c r="BZ6" i="10"/>
  <c r="BN5" i="10" l="1"/>
  <c r="BN18" i="10" l="1"/>
  <c r="BN21" i="10" s="1"/>
  <c r="BZ5" i="10"/>
  <c r="BN30" i="10"/>
  <c r="BZ31" i="10"/>
  <c r="BV9" i="10" l="1"/>
  <c r="BV18" i="10" s="1"/>
  <c r="BV21" i="10" s="1"/>
  <c r="BZ12" i="10"/>
  <c r="BZ30" i="10"/>
  <c r="BN44" i="10"/>
  <c r="BN47" i="10" s="1"/>
  <c r="BV35" i="10" l="1"/>
  <c r="BV44" i="10" s="1"/>
  <c r="BV47" i="10" s="1"/>
  <c r="BZ38" i="10"/>
  <c r="BZ19" i="10" l="1"/>
  <c r="BP9" i="10" l="1"/>
  <c r="BZ10" i="10"/>
  <c r="BP18" i="10" l="1"/>
  <c r="BP21" i="10" s="1"/>
  <c r="BZ9" i="10"/>
  <c r="BZ18" i="10" s="1"/>
  <c r="BP35" i="10"/>
  <c r="BZ23" i="10" l="1"/>
  <c r="BZ21" i="10"/>
  <c r="BP44" i="10"/>
  <c r="BP47" i="10" s="1"/>
  <c r="BZ35" i="10"/>
  <c r="BZ44" i="10" s="1"/>
  <c r="BZ50" i="10" l="1"/>
  <c r="BZ47" i="10"/>
  <c r="AR45" i="10" l="1"/>
  <c r="AN45" i="10"/>
  <c r="AR38" i="10"/>
  <c r="AR37" i="10"/>
  <c r="AR39" i="10"/>
  <c r="AJ38" i="10"/>
  <c r="AJ37" i="10"/>
  <c r="X42" i="10" l="1"/>
  <c r="AN42" i="10"/>
  <c r="AB33" i="10"/>
  <c r="AD33" i="10" s="1"/>
  <c r="AR33" i="10"/>
  <c r="X40" i="10"/>
  <c r="X35" i="10" s="1"/>
  <c r="X44" i="10" s="1"/>
  <c r="AN40" i="10"/>
  <c r="AB36" i="10"/>
  <c r="AR36" i="10"/>
  <c r="AB38" i="10"/>
  <c r="AB30" i="10"/>
  <c r="T37" i="10"/>
  <c r="X45" i="10"/>
  <c r="AB39" i="10"/>
  <c r="AB37" i="10"/>
  <c r="T38" i="10"/>
  <c r="AB45" i="10"/>
  <c r="AN9" i="10"/>
  <c r="AN18" i="10" s="1"/>
  <c r="AN23" i="10" s="1"/>
  <c r="AT23" i="10" s="1"/>
  <c r="AT7" i="10"/>
  <c r="AR5" i="10"/>
  <c r="AL45" i="10"/>
  <c r="AP42" i="10"/>
  <c r="AR42" i="10"/>
  <c r="R45" i="10" l="1"/>
  <c r="AH45" i="10"/>
  <c r="X50" i="10"/>
  <c r="AD50" i="10" s="1"/>
  <c r="R37" i="10"/>
  <c r="AD37" i="10" s="1"/>
  <c r="AH37" i="10"/>
  <c r="AB42" i="10"/>
  <c r="AB35" i="10" s="1"/>
  <c r="AB44" i="10" s="1"/>
  <c r="AB47" i="10" s="1"/>
  <c r="Z42" i="10"/>
  <c r="AD42" i="10" s="1"/>
  <c r="V45" i="10"/>
  <c r="AT16" i="10"/>
  <c r="AR9" i="10"/>
  <c r="AR18" i="10" s="1"/>
  <c r="AR21" i="10" s="1"/>
  <c r="AR35" i="10"/>
  <c r="AT37" i="10"/>
  <c r="AT11" i="10"/>
  <c r="AR30" i="10"/>
  <c r="AT33" i="10"/>
  <c r="AN35" i="10"/>
  <c r="AN44" i="10" s="1"/>
  <c r="AN50" i="10" s="1"/>
  <c r="AT50" i="10" s="1"/>
  <c r="AT42" i="10" l="1"/>
  <c r="AR44" i="10"/>
  <c r="AR47" i="10" s="1"/>
  <c r="R31" i="10" l="1"/>
  <c r="AH31" i="10"/>
  <c r="R32" i="10"/>
  <c r="AD32" i="10" s="1"/>
  <c r="AH32" i="10"/>
  <c r="AH5" i="10"/>
  <c r="AT32" i="10"/>
  <c r="AT6" i="10"/>
  <c r="R30" i="10" l="1"/>
  <c r="AH30" i="10"/>
  <c r="T31" i="10" l="1"/>
  <c r="T30" i="10" s="1"/>
  <c r="AJ31" i="10"/>
  <c r="AT31" i="10" s="1"/>
  <c r="AJ5" i="10"/>
  <c r="AT5" i="10"/>
  <c r="AD31" i="10" l="1"/>
  <c r="AD30" i="10" s="1"/>
  <c r="AJ30" i="10"/>
  <c r="AT30" i="10"/>
  <c r="AP45" i="10" l="1"/>
  <c r="Z38" i="10" l="1"/>
  <c r="AP38" i="10"/>
  <c r="Z45" i="10"/>
  <c r="V40" i="10" l="1"/>
  <c r="AL40" i="10"/>
  <c r="AD40" i="10"/>
  <c r="V35" i="10"/>
  <c r="V44" i="10" s="1"/>
  <c r="V47" i="10" s="1"/>
  <c r="AL9" i="10"/>
  <c r="AL18" i="10" s="1"/>
  <c r="AL21" i="10" s="1"/>
  <c r="AT14" i="10"/>
  <c r="AT40" i="10" l="1"/>
  <c r="AL35" i="10"/>
  <c r="AL44" i="10" s="1"/>
  <c r="AL47" i="10" s="1"/>
  <c r="R36" i="10" l="1"/>
  <c r="AH36" i="10"/>
  <c r="R38" i="10" l="1"/>
  <c r="AH38" i="10"/>
  <c r="Z39" i="10"/>
  <c r="AP39" i="10"/>
  <c r="AD38" i="10"/>
  <c r="R35" i="10"/>
  <c r="R44" i="10" s="1"/>
  <c r="R47" i="10" s="1"/>
  <c r="AD39" i="10"/>
  <c r="Z35" i="10"/>
  <c r="Z44" i="10" s="1"/>
  <c r="Z47" i="10" s="1"/>
  <c r="AT12" i="10"/>
  <c r="AH9" i="10"/>
  <c r="AH18" i="10" s="1"/>
  <c r="AH21" i="10" s="1"/>
  <c r="AT13" i="10"/>
  <c r="AP9" i="10"/>
  <c r="AP18" i="10" s="1"/>
  <c r="AP21" i="10" s="1"/>
  <c r="AT39" i="10" l="1"/>
  <c r="AP35" i="10"/>
  <c r="AP44" i="10" s="1"/>
  <c r="AP47" i="10" s="1"/>
  <c r="AT38" i="10"/>
  <c r="AH35" i="10"/>
  <c r="AH44" i="10" s="1"/>
  <c r="AH47" i="10" s="1"/>
  <c r="T45" i="10" l="1"/>
  <c r="AD45" i="10" s="1"/>
  <c r="AJ45" i="10"/>
  <c r="AT45" i="10"/>
  <c r="AT19" i="10"/>
  <c r="T36" i="10" l="1"/>
  <c r="T35" i="10" s="1"/>
  <c r="T44" i="10" s="1"/>
  <c r="T47" i="10" s="1"/>
  <c r="AD47" i="10" s="1"/>
  <c r="AJ36" i="10"/>
  <c r="AJ9" i="10"/>
  <c r="AJ18" i="10" s="1"/>
  <c r="AJ21" i="10" s="1"/>
  <c r="AT21" i="10" s="1"/>
  <c r="AT10" i="10"/>
  <c r="AT9" i="10" s="1"/>
  <c r="AT18" i="10" s="1"/>
  <c r="AD36" i="10" l="1"/>
  <c r="AD35" i="10" s="1"/>
  <c r="AD44" i="10" s="1"/>
  <c r="AJ35" i="10"/>
  <c r="AJ44" i="10" s="1"/>
  <c r="AJ47" i="10" s="1"/>
  <c r="AT47" i="10" s="1"/>
  <c r="AT36" i="10"/>
  <c r="AT35" i="10" s="1"/>
  <c r="AT44" i="10" s="1"/>
  <c r="L45" i="10" l="1"/>
  <c r="L42" i="10"/>
  <c r="L39" i="10"/>
  <c r="L38" i="10"/>
  <c r="L37" i="10"/>
  <c r="L9" i="10" l="1"/>
  <c r="L36" i="10"/>
  <c r="L35" i="10" s="1"/>
  <c r="N7" i="10"/>
  <c r="L5" i="10"/>
  <c r="L33" i="10"/>
  <c r="L30" i="10" l="1"/>
  <c r="L44" i="10" s="1"/>
  <c r="L47" i="10" s="1"/>
  <c r="N33" i="10"/>
  <c r="L18" i="10"/>
  <c r="L21" i="10" s="1"/>
  <c r="N6" i="10" l="1"/>
  <c r="B32" i="10"/>
  <c r="N32" i="10" s="1"/>
  <c r="D31" i="10" l="1"/>
  <c r="D30" i="10" s="1"/>
  <c r="J45" i="10" l="1"/>
  <c r="D45" i="10"/>
  <c r="B45" i="10" l="1"/>
  <c r="J38" i="10"/>
  <c r="B36" i="10"/>
  <c r="N12" i="10" l="1"/>
  <c r="B38" i="10"/>
  <c r="N38" i="10" s="1"/>
  <c r="N13" i="10"/>
  <c r="J39" i="10"/>
  <c r="N39" i="10" s="1"/>
  <c r="N5" i="10" l="1"/>
  <c r="B5" i="10"/>
  <c r="B31" i="10"/>
  <c r="D9" i="10"/>
  <c r="D18" i="10" s="1"/>
  <c r="D21" i="10" s="1"/>
  <c r="D36" i="10"/>
  <c r="N10" i="10"/>
  <c r="N11" i="10"/>
  <c r="B37" i="10"/>
  <c r="B9" i="10"/>
  <c r="B18" i="10" l="1"/>
  <c r="B21" i="10" s="1"/>
  <c r="D35" i="10"/>
  <c r="D44" i="10" s="1"/>
  <c r="D47" i="10" s="1"/>
  <c r="N36" i="10"/>
  <c r="N37" i="10"/>
  <c r="B35" i="10"/>
  <c r="B30" i="10"/>
  <c r="N31" i="10"/>
  <c r="N30" i="10" s="1"/>
  <c r="B44" i="10" l="1"/>
  <c r="B47" i="10" s="1"/>
  <c r="H40" i="10" l="1"/>
  <c r="F9" i="10" l="1"/>
  <c r="F18" i="10" s="1"/>
  <c r="F40" i="10"/>
  <c r="N14" i="10"/>
  <c r="F35" i="10" l="1"/>
  <c r="F44" i="10" s="1"/>
  <c r="N40" i="10"/>
  <c r="F45" i="10" l="1"/>
  <c r="F21" i="10"/>
  <c r="H45" i="10"/>
  <c r="H42" i="10"/>
  <c r="H9" i="10"/>
  <c r="H18" i="10" s="1"/>
  <c r="H23" i="10" s="1"/>
  <c r="N23" i="10" s="1"/>
  <c r="H35" i="10" l="1"/>
  <c r="H44" i="10" s="1"/>
  <c r="H50" i="10" s="1"/>
  <c r="N50" i="10" s="1"/>
  <c r="N19" i="10"/>
  <c r="N45" i="10"/>
  <c r="F47" i="10"/>
  <c r="J42" i="10" l="1"/>
  <c r="J9" i="10"/>
  <c r="J18" i="10" s="1"/>
  <c r="J21" i="10" s="1"/>
  <c r="N21" i="10" s="1"/>
  <c r="N16" i="10"/>
  <c r="N9" i="10" s="1"/>
  <c r="N18" i="10" s="1"/>
  <c r="J35" i="10" l="1"/>
  <c r="J44" i="10" s="1"/>
  <c r="J47" i="10" s="1"/>
  <c r="N47" i="10" s="1"/>
  <c r="N42" i="10"/>
  <c r="N35" i="10" s="1"/>
  <c r="N4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Romuald Harwas</author>
  </authors>
  <commentList>
    <comment ref="WO12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Romuald Harwas: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O12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Romuald Harwas:</t>
        </r>
        <r>
          <rPr>
            <sz val="9"/>
            <color indexed="81"/>
            <rFont val="Tahoma"/>
            <family val="2"/>
            <charset val="238"/>
          </rPr>
          <t xml:space="preserve">
przeliczone wg. nowej kalkulacji</t>
        </r>
      </text>
    </comment>
    <comment ref="XR49" authorId="0" shapeId="0" xr:uid="{00000000-0006-0000-0600-000003000000}">
      <text>
        <r>
          <rPr>
            <b/>
            <sz val="9"/>
            <color indexed="81"/>
            <rFont val="Tahoma"/>
            <family val="2"/>
            <charset val="238"/>
          </rPr>
          <t>Romuald Harwas:</t>
        </r>
        <r>
          <rPr>
            <sz val="9"/>
            <color indexed="81"/>
            <rFont val="Tahoma"/>
            <family val="2"/>
            <charset val="238"/>
          </rPr>
          <t xml:space="preserve">
korekta błędu w amortyzacji Iason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5C74C21-FEF6-49DD-967F-D31E6ABB97A5}" keepAlive="1" name="Zapytanie — Balance Sheet" description="Połączenie z zapytaniem „Balance Sheet” w skoroszycie." type="5" refreshedVersion="0" background="1">
    <dbPr connection="Provider=Microsoft.Mashup.OleDb.1;Data Source=$Workbook$;Location=&quot;Balance Sheet&quot;;Extended Properties=&quot;&quot;" command="SELECT * FROM [Balance Sheet]"/>
  </connection>
  <connection id="2" xr16:uid="{5899233B-5346-462A-94AA-C19A6F07C5F0}" keepAlive="1" name="Zapytanie — Balance Sheet (2)" description="Połączenie z zapytaniem „Balance Sheet (2)” w skoroszycie." type="5" refreshedVersion="0" background="1">
    <dbPr connection="Provider=Microsoft.Mashup.OleDb.1;Data Source=$Workbook$;Location=&quot;Balance Sheet (2)&quot;;Extended Properties=&quot;&quot;" command="SELECT * FROM [Balance Sheet (2)]"/>
  </connection>
  <connection id="3" xr16:uid="{014F9826-AFC1-4AD3-AB51-25532446932D}" keepAlive="1" name="Zapytanie — Konsole kwartalne" description="Połączenie z zapytaniem „Konsole kwartalne” w skoroszycie." type="5" refreshedVersion="8" background="1" saveData="1">
    <dbPr connection="Provider=Microsoft.Mashup.OleDb.1;Data Source=$Workbook$;Location=&quot;Konsole kwartalne&quot;;Extended Properties=&quot;&quot;" command="SELECT * FROM [Konsole kwartalne]"/>
  </connection>
</connections>
</file>

<file path=xl/sharedStrings.xml><?xml version="1.0" encoding="utf-8"?>
<sst xmlns="http://schemas.openxmlformats.org/spreadsheetml/2006/main" count="2879" uniqueCount="346">
  <si>
    <t>AKTYWA</t>
  </si>
  <si>
    <t>Aktywa trwałe</t>
  </si>
  <si>
    <t>Rzeczowe aktywa trwałe</t>
  </si>
  <si>
    <t>Aktywa trwałe razem</t>
  </si>
  <si>
    <t>Aktywa obrotowe</t>
  </si>
  <si>
    <t>Zapasy</t>
  </si>
  <si>
    <t>Aktywa obrotowe razem</t>
  </si>
  <si>
    <t>Aktywa razem</t>
  </si>
  <si>
    <t>Kapitał własny</t>
  </si>
  <si>
    <t>Kapitał zapasowy</t>
  </si>
  <si>
    <t>Kapitał rezerwowy</t>
  </si>
  <si>
    <t>Zyski zatrzymane</t>
  </si>
  <si>
    <t>Zobowiązania długoterminowe</t>
  </si>
  <si>
    <t>Pozostałe zobowiązania finansowe, w tym:</t>
  </si>
  <si>
    <t>Zobowiązania długoterminowe razem</t>
  </si>
  <si>
    <t>Zobowiązania krótkoterminowe</t>
  </si>
  <si>
    <t>Zobowiązania krótkoterminowe razem</t>
  </si>
  <si>
    <t>Amortyzacja</t>
  </si>
  <si>
    <t>Pozostałe (koszty) przychody netto</t>
  </si>
  <si>
    <t>Wartość sprzedanych towarów</t>
  </si>
  <si>
    <t>Przychody finansowe</t>
  </si>
  <si>
    <t>Koszty finansowe</t>
  </si>
  <si>
    <t>Koszt własny sprzedaży</t>
  </si>
  <si>
    <t>Koszty sprzedaży</t>
  </si>
  <si>
    <t>Koszty zarządu</t>
  </si>
  <si>
    <t>Różnice kursowe</t>
  </si>
  <si>
    <t>Wpływy</t>
  </si>
  <si>
    <t>Zbycie wartości niematerialnych oraz rzeczowych aktywów trwałych</t>
  </si>
  <si>
    <t>Wydatki</t>
  </si>
  <si>
    <t>Nabycie wartości niematerialnych oraz rzeczowych aktywów trwałych</t>
  </si>
  <si>
    <t>Spłaty kredytów i pożyczek</t>
  </si>
  <si>
    <t>Sprzęt diagnostyczny i IT</t>
  </si>
  <si>
    <t>Produkcja radiofarma-ceutyków</t>
  </si>
  <si>
    <t>Usługi serwisowo-pomiarowe</t>
  </si>
  <si>
    <t>Pozycje nieprzypisane</t>
  </si>
  <si>
    <t>Eliminacje</t>
  </si>
  <si>
    <t>Sprawozdanie skonsoli-dowane</t>
  </si>
  <si>
    <t>Przychody:</t>
  </si>
  <si>
    <t>Sprzedaż krajowa</t>
  </si>
  <si>
    <t>Sprzedaż eksportowa</t>
  </si>
  <si>
    <t>Sprzedaż wewnętrzna</t>
  </si>
  <si>
    <t>Koszty operacyjne:</t>
  </si>
  <si>
    <t>EBIT</t>
  </si>
  <si>
    <t>EBITDA</t>
  </si>
  <si>
    <t>Segmenty operacyjne za okres 3 m-cy zakończonych 30.09.2014</t>
  </si>
  <si>
    <t>Segmenty operacyjne za okres 9 m-cy zakończonych 30.09.2014</t>
  </si>
  <si>
    <t>Segmenty operacyjne za okres 3 m-cy zakończonych 30.09.2013</t>
  </si>
  <si>
    <t>Segmenty operacyjne za okres 9 m-cy zakończonych 30.09.2013</t>
  </si>
  <si>
    <t>EBIT w %</t>
  </si>
  <si>
    <t>EBITDA w %</t>
  </si>
  <si>
    <t>Eliminacje i pozycje nieprzypisane</t>
  </si>
  <si>
    <t>SEGMENTY OPERACYJNE 2011</t>
  </si>
  <si>
    <t>SEGMENTY OPERACYJNE 2012</t>
  </si>
  <si>
    <t>SEGMENTY OPERACYJNE 2013</t>
  </si>
  <si>
    <t>Inne</t>
  </si>
  <si>
    <t>SEGMENTY OPERACYJNE 2014</t>
  </si>
  <si>
    <t>SEGMENTY OPERACYJNE 2010</t>
  </si>
  <si>
    <t xml:space="preserve">Segmenty operacyjne za okres 3 m-cy zakończonych 31.03.2014 </t>
  </si>
  <si>
    <t xml:space="preserve">Segmenty operacyjne za okres 6 m-cy zakończonych 31.06.2014 </t>
  </si>
  <si>
    <t>Segmenty operacyjne za okres 3 m-cy zakończonych 31.03.2015</t>
  </si>
  <si>
    <t>Segmenty operacyjne za okres 6 m-cy zakończonych 30.06.2015</t>
  </si>
  <si>
    <t>Okres 6 miesięcy</t>
  </si>
  <si>
    <t>Okres 9 mniesięcy</t>
  </si>
  <si>
    <t>Okres 3 miesięcy</t>
  </si>
  <si>
    <t>Segmenty operacyjne za okres 9 m-cy zakończonych 30.09.2015</t>
  </si>
  <si>
    <t>SEGMENTY OPERACYJNE 2015</t>
  </si>
  <si>
    <t>Segmenty operacyjne za okres 3m-cy zakończonych 30.09.2015</t>
  </si>
  <si>
    <t>GRUPA SYNEKTIK SA - SEGMENTY OPERACYJNE</t>
  </si>
  <si>
    <t>Segmenty operacyjne za okres 3m-cy zakończonych 30.06.2015</t>
  </si>
  <si>
    <t>Segmenty operacyjne za okres 3m-cy zakończonych 30.09.2014</t>
  </si>
  <si>
    <t>Segmenty operacyjne za okres 3m-cy zakończonych 30.06.2014</t>
  </si>
  <si>
    <t>Segmenty operacyjne za okres 3m-cy zakończonych 31.12.2013</t>
  </si>
  <si>
    <t>Segmenty operacyjne za okres 12 m-cy zakończonych 31.12.2015</t>
  </si>
  <si>
    <t>Segmenty operacyjne za okres 3m-cy zakończonych 31.12.2015</t>
  </si>
  <si>
    <t>Segmenty operacyjne za okres 3m-cy zakończonych 31.12.2014 po korekcie błędu</t>
  </si>
  <si>
    <t>Segmenty operacyjne za okres 12 m-cy zakończonych 31.12.2016</t>
  </si>
  <si>
    <t>Segmenty operacyjne za okres 9 m-cy zakończonych 30.09.2016</t>
  </si>
  <si>
    <t>Segmenty operacyjne za okres 6 m-cy zakończonych 30.06.2016</t>
  </si>
  <si>
    <t>Segmenty operacyjne za okres 3 m-cy zakończonych 31.03.2016</t>
  </si>
  <si>
    <t>Segmenty operacyjne za okres 3m-cy zakończonych 31.12.2016</t>
  </si>
  <si>
    <t>Segmenty operacyjne za okres 3m-cy zakończonych 30.09.2016</t>
  </si>
  <si>
    <t>Segmenty operacyjne za okres 3m-cy zakończonych 30.06.2016</t>
  </si>
  <si>
    <t>SEGMENTY OPERACYJNE 2016</t>
  </si>
  <si>
    <t>Segmenty operacyjne za okres 21 m-cy zakończonych 30.09.2018</t>
  </si>
  <si>
    <t>SEGMENTY OPERACYJNE 2017</t>
  </si>
  <si>
    <t>Segmenty operacyjne za okres 18 m-cy zakończonych 30.06.2018</t>
  </si>
  <si>
    <t>Segmenty operacyjne za okres 15 m-cy zakończonych 31.03.2018</t>
  </si>
  <si>
    <t>Segmenty operacyjne za okres 12 m-cy zakończonych 31.12.2017</t>
  </si>
  <si>
    <t>Segmenty operacyjne za okres 9 m-cy zakończonych 30.09.2017</t>
  </si>
  <si>
    <t>Segmenty operacyjne za okres 6 m-cy zakończonych 30.06.2017</t>
  </si>
  <si>
    <t>Segmenty operacyjne za okres 3m-cy zakończonych 30.03.2017</t>
  </si>
  <si>
    <t>Zysk z okazjonalnego nabycia</t>
  </si>
  <si>
    <t>Okres 12 mniesięcy</t>
  </si>
  <si>
    <t>SEGMENTY OPERACYJNE 2018-19</t>
  </si>
  <si>
    <t>Segmenty operacyjne za okres 3 m-cy zakończonych 31.12.2018</t>
  </si>
  <si>
    <t>Segmenty operacyjne za okres 6 m-cy zakończonych 31.03.2019</t>
  </si>
  <si>
    <t>Segmenty operacyjne za okres 9 m-cy zakończonych 30.06.2019</t>
  </si>
  <si>
    <t>Segmenty operacyjne za okres 12 m-cy zakończonych 30.09.2019</t>
  </si>
  <si>
    <t>Koszty prac rozwojowych</t>
  </si>
  <si>
    <t>Centrum Badawczo-Rozwojowe</t>
  </si>
  <si>
    <t>EBITDA ZNORMALIZOWANA</t>
  </si>
  <si>
    <t>Segmenty operacyjne za okres 3 m-cy zakończonych 31.12.2019</t>
  </si>
  <si>
    <t>Segmenty operacyjne za okres 6 m-cy zakończonych 31.03.2020</t>
  </si>
  <si>
    <t>Segmenty operacyjne za okres 9 m-cy zakończonych 30.06.2020</t>
  </si>
  <si>
    <t>Segmenty operacyjne za okres 12 m-cy zakończonych 30.09.2020</t>
  </si>
  <si>
    <t>SEGMENTY OPERACYJNE 2019-20</t>
  </si>
  <si>
    <t>Segmenty operacyjne za okres 3 m-cy zakończonych 31.12.2020</t>
  </si>
  <si>
    <t>Segmenty operacyjne za okres 6 m-cy zakończonych 31.03.2021</t>
  </si>
  <si>
    <t>Segmenty operacyjne za okres 9 m-cy zakończonych 30.06.2021</t>
  </si>
  <si>
    <t>Segmenty operacyjne za okres 12 m-cy zakończonych 30.09.2021</t>
  </si>
  <si>
    <t>SEGMENTY OPERACYJNE 2020-21</t>
  </si>
  <si>
    <t>SEGMENTY OPERACYJNE 2021-22</t>
  </si>
  <si>
    <t>Segmenty operacyjne za okres 3 m-cy zakończonych 31.12.2021</t>
  </si>
  <si>
    <t>Segmenty operacyjne za okres 6 m-cy zakończonych 31.03.2022</t>
  </si>
  <si>
    <t>Segmenty operacyjne za okres 9 m-cy zakończonych 30.06.2022</t>
  </si>
  <si>
    <t>Segmenty operacyjne za okres 12 m-cy zakończonych 30.09.2022</t>
  </si>
  <si>
    <t>Sprawozdanie skonsolidowane</t>
  </si>
  <si>
    <t>Segmenty operacyjne za okres 12 m-cy zakończonych 30.09.2023</t>
  </si>
  <si>
    <t>Segmenty operacyjne za okres 9 m-cy zakończonych 30.06.2023</t>
  </si>
  <si>
    <t>Segmenty operacyjne za okres 6 m-cy zakończonych 31.03.2023</t>
  </si>
  <si>
    <t>Segmenty operacyjne za okres 3 m-cy zakończonych 31.12.2022</t>
  </si>
  <si>
    <t>SEGMENTY OPERACYJNE 2023-24</t>
  </si>
  <si>
    <t>SEGMENTY OPERACYJNE 2022-23</t>
  </si>
  <si>
    <t>Segmenty operacyjne za okres 6 m-cy zakończonych 31.03.2025</t>
  </si>
  <si>
    <t>Segmenty operacyjne za okres 9 m-cy zakończonych 30.06.2025</t>
  </si>
  <si>
    <t>Segmenty operacyjne za okres 12 m-cy zakończonych 30.09.2025</t>
  </si>
  <si>
    <t>SEGMENTY OPERACYJNE 2024-25</t>
  </si>
  <si>
    <t>EBITDA z działalności kontynuowanej</t>
  </si>
  <si>
    <t>EBITDA z działalności wydzielanej</t>
  </si>
  <si>
    <t>Segmenty operacyjne za okres 3 m-cy zakończonych 31.12.2024 - dane przekształcone</t>
  </si>
  <si>
    <t>Segmenty operacyjne za okres 12 m-cy zakończonych 30.09.2024 - dane przekształcone</t>
  </si>
  <si>
    <t>Segmenty operacyjne za okres 9 m-cy zakończonych 30.06.2024 - dane przekształcone</t>
  </si>
  <si>
    <t>Segmenty operacyjne za okres 6 m-cy zakończonych 31.03.2024 - dane przekształcone</t>
  </si>
  <si>
    <t>Segmenty operacyjne za okres 3 m-cy zakończonych 31.12.2023 - dane przekształcone</t>
  </si>
  <si>
    <t>Centrum Badań nad Nowymi Cząsteczkami - część wydzielana</t>
  </si>
  <si>
    <t>EBIT z działalności kontynuowanej  i wydzielanej</t>
  </si>
  <si>
    <t>ASSETS</t>
  </si>
  <si>
    <t>Non-current assets</t>
  </si>
  <si>
    <t>Property, plant and equipment</t>
  </si>
  <si>
    <t>Prawa do użytkowania rzeczowych aktywów trwałych</t>
  </si>
  <si>
    <t>Right-of-use assets (property, plant and equipment)</t>
  </si>
  <si>
    <t>Inne wartości niematerialne</t>
  </si>
  <si>
    <t>Prawa do uzytkowania wartosci niematerialnych</t>
  </si>
  <si>
    <t>Aktywa z tytułu odroczonego podatku dochodowego</t>
  </si>
  <si>
    <t>Długoterminowe rozliczenia międzyokresowe</t>
  </si>
  <si>
    <t>Other intangible assets</t>
  </si>
  <si>
    <t>Right-of-use assets (intangible assets)</t>
  </si>
  <si>
    <t>Deferred tax asset</t>
  </si>
  <si>
    <t>Non-current prepayments</t>
  </si>
  <si>
    <t>Total non-current assets</t>
  </si>
  <si>
    <t>Current assets</t>
  </si>
  <si>
    <t>Krótkoterminowe aktywa finansowe</t>
  </si>
  <si>
    <t>Należności z tytułu dostaw i usług oraz pozostałe</t>
  </si>
  <si>
    <t>Należności z tytułu podatku dochodowego</t>
  </si>
  <si>
    <t>Środki pieniężne</t>
  </si>
  <si>
    <t xml:space="preserve">Krótkoterminowe rozliczenia międzyokresowe </t>
  </si>
  <si>
    <t>Aktywa przeznaczone do sprzedaży</t>
  </si>
  <si>
    <t>Inventories</t>
  </si>
  <si>
    <t>Other current financial assets</t>
  </si>
  <si>
    <t>Trade and other receivables</t>
  </si>
  <si>
    <t>Corporate income tax receivable</t>
  </si>
  <si>
    <t>Cash and cash equivalents</t>
  </si>
  <si>
    <t>Current prepayments</t>
  </si>
  <si>
    <t>Assets classified as held for sale</t>
  </si>
  <si>
    <t>Total current assets</t>
  </si>
  <si>
    <t>TOTAL ASSETS</t>
  </si>
  <si>
    <t>PASYWA</t>
  </si>
  <si>
    <t xml:space="preserve">GRUPA BIOTON S.A. </t>
  </si>
  <si>
    <t>SKONSOLIDOWANE SPRAWOZDANIE Z SYTUACJI FINANSOWEJ</t>
  </si>
  <si>
    <t>Equity</t>
  </si>
  <si>
    <t>EQUITY &amp; LIABILITIES</t>
  </si>
  <si>
    <t>Kapitał akcyjny</t>
  </si>
  <si>
    <t>Issued capital</t>
  </si>
  <si>
    <t>Kapitał z emisji akcji powyżej ich wartości nominalnej</t>
  </si>
  <si>
    <t>Share premium</t>
  </si>
  <si>
    <t>Supplementary capital</t>
  </si>
  <si>
    <t>Reserve capital</t>
  </si>
  <si>
    <t>Kapitał rezerwowy z transakcji między akcjonariuszami</t>
  </si>
  <si>
    <t>Reserve capital arising from transactions between shareholders</t>
  </si>
  <si>
    <t>Różnice kursowe z przeliczenia jednostek podporządkowanych</t>
  </si>
  <si>
    <t>Foreign currency translation reserve</t>
  </si>
  <si>
    <t>Retained earnings</t>
  </si>
  <si>
    <t>Total Equity</t>
  </si>
  <si>
    <t>Kapitał własny razem</t>
  </si>
  <si>
    <t>Non-current liabilities</t>
  </si>
  <si>
    <t>Zobowiązania długoterminowe z tytułu kredytów, pożyczek oraz innych instrumentów dłużnych</t>
  </si>
  <si>
    <t>Current interest-bearing loans and borrowings</t>
  </si>
  <si>
    <t>Rezerwy i długoterminowe RMK</t>
  </si>
  <si>
    <t>Provisions</t>
  </si>
  <si>
    <t>Zobowiązania z tytułu świadczeń pracowniczych</t>
  </si>
  <si>
    <t>Employee benefits</t>
  </si>
  <si>
    <t>Długoterminowe rozliczenia międzyokresowe przychodów</t>
  </si>
  <si>
    <t>Deferred income</t>
  </si>
  <si>
    <t>Rezerwa z tytułu odroczonego podatku</t>
  </si>
  <si>
    <t>Deferred tax liability</t>
  </si>
  <si>
    <t>Pozostałe zobowiazania długoterminowe</t>
  </si>
  <si>
    <t>Other non-current liabilities</t>
  </si>
  <si>
    <t>Total non-current liabilities</t>
  </si>
  <si>
    <t>Current liabilities</t>
  </si>
  <si>
    <t>Kredyty w rachunku bieżącym</t>
  </si>
  <si>
    <t>Bank overdraft</t>
  </si>
  <si>
    <t>Zobowiązania krótkoterminowe z tytułu kredytów, pożyczek oraz innych instrumentów dłużnych</t>
  </si>
  <si>
    <t>Zobowiązania z tytułu dostaw i usług oraz pozostałe</t>
  </si>
  <si>
    <t>Trade and other payables</t>
  </si>
  <si>
    <t>Zobowiązania z tytułu podatków</t>
  </si>
  <si>
    <t>Corporate income tax payable</t>
  </si>
  <si>
    <t>Rozliczenia międzyokresowe i inne rezerwy</t>
  </si>
  <si>
    <t>Total current liabilities</t>
  </si>
  <si>
    <t>TOTAL EQUITY AND LIABILITIES</t>
  </si>
  <si>
    <t>SKONSOLIDOWANE SPRAWOZDANIE Z CAŁKOWITYCH DOCHODÓW</t>
  </si>
  <si>
    <t>Pasywa razem</t>
  </si>
  <si>
    <t>Przychody ze sprzedaży</t>
  </si>
  <si>
    <t>Revenue</t>
  </si>
  <si>
    <t>Cost of sales</t>
  </si>
  <si>
    <t>Koszty przestojów i niewykorzystanych mocy produkcyjnych</t>
  </si>
  <si>
    <t>Technological idle time and unused production capacity</t>
  </si>
  <si>
    <t>Zysk brutto na sprzedaży</t>
  </si>
  <si>
    <t>Gross profit / (loss)</t>
  </si>
  <si>
    <t>Pozostałe przychody operacyjne</t>
  </si>
  <si>
    <t>Other operating income</t>
  </si>
  <si>
    <t>Selling and distribution expenses</t>
  </si>
  <si>
    <t>Koszty ogólnego zarządu</t>
  </si>
  <si>
    <t>Administrative expenses</t>
  </si>
  <si>
    <t>Koszty prac badawczych i rozwojowych</t>
  </si>
  <si>
    <t>Research and development costs</t>
  </si>
  <si>
    <t>Pozostałe koszty operacyjne</t>
  </si>
  <si>
    <t>Other operating expenses</t>
  </si>
  <si>
    <t>Zysk brutto na działalności operacyjnej</t>
  </si>
  <si>
    <t>Profit / (loss) from operating activities</t>
  </si>
  <si>
    <t>Finance income</t>
  </si>
  <si>
    <t>Finance costs</t>
  </si>
  <si>
    <t>Przychody/(Koszty) finansowe netto</t>
  </si>
  <si>
    <t>Net finance income / (costs)</t>
  </si>
  <si>
    <t>Other net operating income/expenses</t>
  </si>
  <si>
    <t>Pozostałe przychody / koszty operacyjne netto</t>
  </si>
  <si>
    <t>Zysk przed opodatkowaniem</t>
  </si>
  <si>
    <t>Profit / (loss) before income tax</t>
  </si>
  <si>
    <t>Podatek dochodowy bieżący</t>
  </si>
  <si>
    <t>Podatek odroczony</t>
  </si>
  <si>
    <t>Current tax expense</t>
  </si>
  <si>
    <t>Deferred tax expense</t>
  </si>
  <si>
    <t xml:space="preserve">Podatek dochodowy </t>
  </si>
  <si>
    <t>Income tax expense</t>
  </si>
  <si>
    <t xml:space="preserve">Zysk/(Strata) netto </t>
  </si>
  <si>
    <t>Profit / (loss) for the period</t>
  </si>
  <si>
    <t>SKONSOLIDOWANE SPRAWOZDANIE Z PRZEPŁYWÓE PIENIĘŻNYCH</t>
  </si>
  <si>
    <t>CASH FLOWS FROM OPERATING ACTIVITIES</t>
  </si>
  <si>
    <t>Zysk netto</t>
  </si>
  <si>
    <t>Depreciation and amortization of intangible assets</t>
  </si>
  <si>
    <t>(Zyski)/straty z tytułu różnic kursowych netto</t>
  </si>
  <si>
    <t>Foreign exchange (gains) / losses, net</t>
  </si>
  <si>
    <t>Odsetki i dywidendy zapłacone, netto</t>
  </si>
  <si>
    <t>(Zyski)/straty z działalności inwestycyjnej</t>
  </si>
  <si>
    <t>Podatek dochodowy bieżącego okresu</t>
  </si>
  <si>
    <t>Podatek dochodowy zapłacony</t>
  </si>
  <si>
    <t>Pozostałe pozycje netto</t>
  </si>
  <si>
    <t>Interest and dividends, net</t>
  </si>
  <si>
    <t>(Gains) / losses on investment activity</t>
  </si>
  <si>
    <t>Income tax expense for the period</t>
  </si>
  <si>
    <t>Income tax paid</t>
  </si>
  <si>
    <t>Other items, net</t>
  </si>
  <si>
    <t>Środki pieniężne netto z działalności operacyjnej przed zmianą kapitału obrotowego</t>
  </si>
  <si>
    <t xml:space="preserve"> Net cash from operating activities before changes in working capital</t>
  </si>
  <si>
    <t>(Zwiększenie)/Zmniejszenie stanu należności</t>
  </si>
  <si>
    <t>(Increase) / Decrease in trade and other receivables</t>
  </si>
  <si>
    <t>(Zwiększenie)/Zmniejszenie stanu zapasów</t>
  </si>
  <si>
    <t>(Increase) / Decrease in inventories</t>
  </si>
  <si>
    <t>Zwiększenie/(Zmniejszenie) stanu zobowiązań i rozliczeń międzyokresowych biernych</t>
  </si>
  <si>
    <t>Increase / (Decrease) in trade and other payables, accruals and other provisions and deferred income (current)</t>
  </si>
  <si>
    <t>(Zwiększenie)/Zmniejszenie stanu rozliczeń międzyokresowych czynnych</t>
  </si>
  <si>
    <t>(Increase) / Decrease in prepayments and deferred costs</t>
  </si>
  <si>
    <t>Zwiększenie/(Zmniejszenie) stanu rezerw</t>
  </si>
  <si>
    <t>Increase / (Decrease) in provisions (non-current)</t>
  </si>
  <si>
    <t>Zwiększenie/(Zmniejszenie) stanu przychodów przyszłych okresów</t>
  </si>
  <si>
    <t>Increase / (Decrease) in deferred income</t>
  </si>
  <si>
    <t>Środki pieniężne netto z działalności operacyjnej</t>
  </si>
  <si>
    <t>Cash from operating activities</t>
  </si>
  <si>
    <t>PRZEPŁYWY ŚRODKÓW PIENIĘŻNYCH Z DZIAŁALNOŚCI OPERACYJNEJ</t>
  </si>
  <si>
    <t>PRZEPŁYWY ŚRODKÓW PIENIĘŻNYCH Z DZIAŁALNOŚCI INWESTYCYJNEJ</t>
  </si>
  <si>
    <t>CASH FLOWS FROM INVESTING ACTIVITIES</t>
  </si>
  <si>
    <t xml:space="preserve"> Inflows:</t>
  </si>
  <si>
    <t>Proceeds from sale of intangible assets, property, plant and equipment</t>
  </si>
  <si>
    <t>Pozostałe wpływy</t>
  </si>
  <si>
    <t>Other</t>
  </si>
  <si>
    <t>Outflows</t>
  </si>
  <si>
    <t>Acquisition of intangible assets,  property, plant and equipment</t>
  </si>
  <si>
    <t>Pozostałe wydatki</t>
  </si>
  <si>
    <t>Other outflows</t>
  </si>
  <si>
    <t>Środki pieniężne netto z działalności inwestycyjnej</t>
  </si>
  <si>
    <t>Cash from investing activities</t>
  </si>
  <si>
    <t>PRZEPŁYWY ŚRODKÓW PIENIĘŻNYCH Z DZIAŁALNOŚCI FINANSOWEJ</t>
  </si>
  <si>
    <t>CASH FLOWS FROM FINANCING ACTIVITIES</t>
  </si>
  <si>
    <t>Kredyty i pożyczki</t>
  </si>
  <si>
    <t>Proceeds from loans and borrowings</t>
  </si>
  <si>
    <t>Odsetki</t>
  </si>
  <si>
    <t>Płatności zobowiazań z tytułu leasingu finansowego</t>
  </si>
  <si>
    <t>Repayment of loans and borrowings</t>
  </si>
  <si>
    <t>Interest paid</t>
  </si>
  <si>
    <t>Payment of leasing liabilities</t>
  </si>
  <si>
    <t>Środki pieniężne netto z działalności finansowej</t>
  </si>
  <si>
    <t>Cash from financing activities</t>
  </si>
  <si>
    <t>Zmiana stanu środków pieniężnych netto</t>
  </si>
  <si>
    <t>Net change in cash</t>
  </si>
  <si>
    <t>Środki pieniężne na początek okresu</t>
  </si>
  <si>
    <t>Cash at the beginning of the period (carrying amount)</t>
  </si>
  <si>
    <t>Środki pieniężne na początek okresu (wartość bilansowa)</t>
  </si>
  <si>
    <t>Środki pieniężne na koniec okresu</t>
  </si>
  <si>
    <t>Cash at the end of the period</t>
  </si>
  <si>
    <t>Środki pieniężne na koniec okresu (wartość bilansowa)</t>
  </si>
  <si>
    <t>Cash at the end of the period (carrying amount)</t>
  </si>
  <si>
    <t>Środki pieniężne na koniec okresu po korektach</t>
  </si>
  <si>
    <t>Cash at the end of the period after adjustments</t>
  </si>
  <si>
    <t xml:space="preserve">Effect of currency exchange rate changes on cash </t>
  </si>
  <si>
    <t>Środki pieniężne w ramach aktywów przeznaczonych do sprzedaży</t>
  </si>
  <si>
    <t>Cash balance included in assets held for sale (negative amount)</t>
  </si>
  <si>
    <t>Overdrafts (negative amount)</t>
  </si>
  <si>
    <t>JEDNOSTKOWE SPRAWOZDANIE Z SYTUACJI FINANSOWEJ</t>
  </si>
  <si>
    <t>JEDNOSTKOWE SPRAWOZDANIE Z CAŁKOWITYCH DOCHODÓW</t>
  </si>
  <si>
    <t>JEDNOSTKOWE SPRAWOZDANIE Z PRZEPŁYWÓE PIENIĘŻNYCH</t>
  </si>
  <si>
    <t>Kwartał 4</t>
  </si>
  <si>
    <t>Kwartał 3</t>
  </si>
  <si>
    <t>Kwartał 2</t>
  </si>
  <si>
    <t>Kwartał 1</t>
  </si>
  <si>
    <t>Nieruchomości inwestycyjne</t>
  </si>
  <si>
    <t>Investment property</t>
  </si>
  <si>
    <t>from related entities (category B)</t>
  </si>
  <si>
    <t>Zobowiązania z tytułu leasingu</t>
  </si>
  <si>
    <t>Lease liabilities</t>
  </si>
  <si>
    <t>Zobowiązania wobec jednostek powiązanych kategorii B</t>
  </si>
  <si>
    <t>Zbycie aktywów finansowych</t>
  </si>
  <si>
    <t>Proceeds from sale of financial assets</t>
  </si>
  <si>
    <t>Długoterminowe aktywa finansowe</t>
  </si>
  <si>
    <t>Spłata udzielonych pożyczek</t>
  </si>
  <si>
    <t>Zobowiązania z tytułu odroczonego podatku</t>
  </si>
  <si>
    <t>Deffered tax liabilities</t>
  </si>
  <si>
    <t>Dotacje</t>
  </si>
  <si>
    <t>Government grants</t>
  </si>
  <si>
    <t>Zobowiązania wobec jednostek powiązanych</t>
  </si>
  <si>
    <t xml:space="preserve">Liabilities from related entities </t>
  </si>
  <si>
    <t xml:space="preserve">Non-current financial assets </t>
  </si>
  <si>
    <t>Inwestycje w jednostkach zależnych i stowarzyszonych</t>
  </si>
  <si>
    <t>Investments in subsidiaries and in associates</t>
  </si>
  <si>
    <t>-</t>
  </si>
  <si>
    <t>Granty</t>
  </si>
  <si>
    <t xml:space="preserve">Pozostałe zobowiązania finansowe, w tym: </t>
  </si>
  <si>
    <t>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</si>
</sst>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;\(#,##0.00\);\-"/>
    <numFmt numFmtId="166" formatCode="_(* #,##0.00_);_(* \(#,##0.00\);_(* &quot;-&quot;??_);_(@_)"/>
    <numFmt numFmtId="167" formatCode="_ * #,##0.00_ ;_ * \-#,##0.00_ ;_ * &quot;-&quot;??_ ;_ @_ "/>
    <numFmt numFmtId="168" formatCode="mm/dd/yy"/>
    <numFmt numFmtId="169" formatCode="dd\.mm\.yyyy;;"/>
    <numFmt numFmtId="170" formatCode="d\ mmm\ yyyy"/>
    <numFmt numFmtId="171" formatCode="_-* #,##0.00\ [$€-1]_-;\-* #,##0.00\ [$€-1]_-;_-* &quot;-&quot;??\ [$€-1]_-"/>
    <numFmt numFmtId="172" formatCode="0.0000"/>
    <numFmt numFmtId="173" formatCode="#,##0;\(#,##0\)"/>
    <numFmt numFmtId="174" formatCode="#,##0.0;\(#,##0.0\)"/>
    <numFmt numFmtId="175" formatCode="0.0\ &quot;x&quot;;\(0.0\)\ &quot;x&quot;"/>
    <numFmt numFmtId="176" formatCode="[&gt;-0.5]#,##0;[&lt;=-0.5]\(#,##0\);\-"/>
    <numFmt numFmtId="177" formatCode="#,##0.0;\(#,##0.0\);\ 0.0"/>
    <numFmt numFmtId="178" formatCode="0.0%;\(0.0%\)"/>
    <numFmt numFmtId="179" formatCode="0.0%"/>
    <numFmt numFmtId="180" formatCode="#,##0.00&quot;,     &quot;;\-#,##0.00&quot;,     &quot;;&quot; -&quot;#&quot;      &quot;;@\ "/>
    <numFmt numFmtId="181" formatCode="#,##0.00_);[Red]\(#,##0.00\)"/>
    <numFmt numFmtId="182" formatCode="#,##0.00&quot; zł &quot;;\-#,##0.00&quot; zł &quot;;&quot; -&quot;#&quot; zł &quot;;@\ "/>
    <numFmt numFmtId="183" formatCode="_-* #,##0_-;\-* #,##0_-;_-* &quot;-&quot;??_-;_-@_-"/>
    <numFmt numFmtId="184" formatCode="#,##0;\(#,##0\);\-"/>
  </numFmts>
  <fonts count="5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ahoma"/>
      <family val="2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indexed="8"/>
      <name val="Tahoma"/>
      <family val="2"/>
      <charset val="238"/>
    </font>
    <font>
      <sz val="10"/>
      <name val="Arial"/>
      <family val="2"/>
    </font>
    <font>
      <sz val="12"/>
      <color indexed="8"/>
      <name val="Times New Roman"/>
      <family val="2"/>
    </font>
    <font>
      <sz val="10"/>
      <name val="Times New Roman"/>
      <family val="1"/>
    </font>
    <font>
      <sz val="10"/>
      <name val="Times New Roman"/>
      <family val="1"/>
      <charset val="238"/>
    </font>
    <font>
      <sz val="10"/>
      <color indexed="22"/>
      <name val="Arial"/>
      <family val="2"/>
      <charset val="238"/>
    </font>
    <font>
      <sz val="10"/>
      <name val="Times New Roman CE"/>
    </font>
    <font>
      <sz val="10"/>
      <name val="Tahoma"/>
      <family val="2"/>
      <charset val="238"/>
    </font>
    <font>
      <i/>
      <sz val="10"/>
      <name val="Tahoma"/>
      <family val="2"/>
    </font>
    <font>
      <i/>
      <sz val="10"/>
      <name val="Tahoma"/>
      <family val="2"/>
      <charset val="238"/>
    </font>
    <font>
      <sz val="10"/>
      <name val="MS Sans Serif"/>
      <family val="2"/>
      <charset val="238"/>
    </font>
    <font>
      <sz val="12"/>
      <color indexed="8"/>
      <name val="Times New Roman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8"/>
      <color indexed="22"/>
      <name val="Arial"/>
      <family val="2"/>
      <charset val="238"/>
    </font>
    <font>
      <b/>
      <sz val="12"/>
      <color indexed="22"/>
      <name val="Arial"/>
      <family val="2"/>
      <charset val="238"/>
    </font>
    <font>
      <i/>
      <sz val="10"/>
      <color indexed="55"/>
      <name val="Tahoma"/>
      <family val="2"/>
      <charset val="238"/>
    </font>
    <font>
      <sz val="8"/>
      <name val="Tahoma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b/>
      <sz val="14"/>
      <color indexed="62"/>
      <name val="Tahoma"/>
      <family val="2"/>
      <charset val="238"/>
    </font>
    <font>
      <b/>
      <sz val="18"/>
      <color indexed="62"/>
      <name val="Tahoma"/>
      <family val="2"/>
      <charset val="238"/>
    </font>
    <font>
      <sz val="10"/>
      <name val="Courier"/>
      <family val="3"/>
    </font>
    <font>
      <b/>
      <sz val="10"/>
      <color indexed="9"/>
      <name val="Tahoma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8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8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8"/>
      <color rgb="FF003366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8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1" tint="0.49998474074526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1" tint="0.499984740745262"/>
      </right>
      <top/>
      <bottom/>
      <diagonal/>
    </border>
    <border>
      <left style="thin">
        <color theme="0" tint="-0.14996795556505021"/>
      </left>
      <right style="thin">
        <color theme="1" tint="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medium">
        <color indexed="64"/>
      </top>
      <bottom style="medium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indexed="64"/>
      </top>
      <bottom style="thin">
        <color indexed="64"/>
      </bottom>
      <diagonal/>
    </border>
  </borders>
  <cellStyleXfs count="98">
    <xf numFmtId="0" fontId="0" fillId="0" borderId="0"/>
    <xf numFmtId="0" fontId="3" fillId="0" borderId="0"/>
    <xf numFmtId="4" fontId="4" fillId="0" borderId="0" applyFill="0" applyBorder="0" applyProtection="0">
      <alignment horizontal="right" vertical="center"/>
    </xf>
    <xf numFmtId="0" fontId="5" fillId="0" borderId="0" applyFill="0" applyBorder="0" applyProtection="0">
      <alignment vertical="center"/>
    </xf>
    <xf numFmtId="0" fontId="6" fillId="0" borderId="0" applyFill="0" applyBorder="0" applyProtection="0">
      <alignment vertical="center"/>
    </xf>
    <xf numFmtId="0" fontId="7" fillId="0" borderId="0" applyFill="0" applyBorder="0" applyProtection="0">
      <alignment vertical="center"/>
    </xf>
    <xf numFmtId="0" fontId="8" fillId="0" borderId="0" applyFill="0" applyBorder="0" applyProtection="0">
      <alignment vertical="center"/>
    </xf>
    <xf numFmtId="0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5" fillId="0" borderId="0" applyFill="0" applyBorder="0" applyAlignment="0" applyProtection="0">
      <alignment horizontal="right" vertical="center"/>
    </xf>
    <xf numFmtId="168" fontId="14" fillId="0" borderId="0" applyFont="0" applyFill="0" applyBorder="0" applyAlignment="0" applyProtection="0"/>
    <xf numFmtId="169" fontId="15" fillId="0" borderId="0" applyFont="0" applyFill="0" applyBorder="0" applyProtection="0">
      <alignment horizontal="right" vertical="center"/>
    </xf>
    <xf numFmtId="170" fontId="16" fillId="3" borderId="0" applyFont="0" applyFill="0" applyBorder="0" applyAlignment="0" applyProtection="0">
      <alignment horizontal="center" vertical="center" wrapText="1"/>
    </xf>
    <xf numFmtId="3" fontId="4" fillId="0" borderId="0" applyFill="0" applyBorder="0" applyAlignment="0" applyProtection="0">
      <alignment vertical="center"/>
    </xf>
    <xf numFmtId="0" fontId="4" fillId="4" borderId="0" applyNumberFormat="0" applyFont="0" applyBorder="0" applyAlignment="0" applyProtection="0"/>
    <xf numFmtId="0" fontId="17" fillId="0" borderId="0" applyNumberFormat="0" applyFill="0" applyBorder="0" applyProtection="0">
      <alignment vertical="center"/>
    </xf>
    <xf numFmtId="38" fontId="18" fillId="0" borderId="0" applyFont="0" applyFill="0" applyBorder="0" applyAlignment="0" applyProtection="0"/>
    <xf numFmtId="0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19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5" fillId="0" borderId="0" applyFill="0" applyBorder="0" applyProtection="0">
      <alignment vertical="center"/>
    </xf>
    <xf numFmtId="2" fontId="13" fillId="0" borderId="0" applyFont="0" applyFill="0" applyBorder="0" applyAlignment="0" applyProtection="0"/>
    <xf numFmtId="38" fontId="20" fillId="2" borderId="0" applyNumberFormat="0" applyBorder="0" applyAlignment="0" applyProtection="0"/>
    <xf numFmtId="0" fontId="21" fillId="0" borderId="3" applyNumberFormat="0" applyAlignment="0" applyProtection="0">
      <alignment horizontal="left" vertical="center"/>
    </xf>
    <xf numFmtId="0" fontId="21" fillId="0" borderId="1">
      <alignment horizontal="left" vertical="center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3" fontId="24" fillId="0" borderId="0" applyNumberFormat="0" applyFill="0" applyBorder="0" applyAlignment="0" applyProtection="0">
      <alignment vertical="center"/>
    </xf>
    <xf numFmtId="10" fontId="20" fillId="5" borderId="4" applyNumberFormat="0" applyBorder="0" applyAlignment="0" applyProtection="0"/>
    <xf numFmtId="0" fontId="15" fillId="4" borderId="4" applyNumberFormat="0" applyProtection="0">
      <alignment vertical="center"/>
    </xf>
    <xf numFmtId="0" fontId="15" fillId="4" borderId="4" applyNumberFormat="0" applyProtection="0">
      <alignment vertical="center"/>
    </xf>
    <xf numFmtId="0" fontId="25" fillId="6" borderId="0">
      <alignment vertical="center"/>
    </xf>
    <xf numFmtId="174" fontId="4" fillId="0" borderId="0" applyFont="0" applyFill="0" applyBorder="0" applyAlignment="0" applyProtection="0">
      <alignment horizontal="right"/>
    </xf>
    <xf numFmtId="175" fontId="15" fillId="0" borderId="0" applyFill="0" applyBorder="0" applyProtection="0">
      <alignment horizontal="right" vertical="center"/>
    </xf>
    <xf numFmtId="0" fontId="9" fillId="0" borderId="0"/>
    <xf numFmtId="0" fontId="26" fillId="0" borderId="0"/>
    <xf numFmtId="0" fontId="9" fillId="0" borderId="0"/>
    <xf numFmtId="0" fontId="9" fillId="0" borderId="0"/>
    <xf numFmtId="0" fontId="27" fillId="0" borderId="0"/>
    <xf numFmtId="0" fontId="28" fillId="0" borderId="0"/>
    <xf numFmtId="0" fontId="3" fillId="0" borderId="0"/>
    <xf numFmtId="0" fontId="29" fillId="0" borderId="0"/>
    <xf numFmtId="0" fontId="27" fillId="0" borderId="0"/>
    <xf numFmtId="0" fontId="9" fillId="0" borderId="0"/>
    <xf numFmtId="0" fontId="3" fillId="0" borderId="0"/>
    <xf numFmtId="0" fontId="26" fillId="0" borderId="0"/>
    <xf numFmtId="0" fontId="9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15" fillId="0" borderId="0" applyBorder="0" applyProtection="0">
      <alignment horizontal="right" vertical="center"/>
    </xf>
    <xf numFmtId="176" fontId="30" fillId="0" borderId="1" applyFont="0" applyBorder="0" applyProtection="0">
      <alignment horizontal="right" vertical="center"/>
    </xf>
    <xf numFmtId="176" fontId="30" fillId="0" borderId="1" applyFont="0" applyBorder="0" applyProtection="0">
      <alignment horizontal="right" vertical="center"/>
    </xf>
    <xf numFmtId="169" fontId="5" fillId="0" borderId="0" applyFill="0" applyBorder="0" applyProtection="0">
      <alignment horizontal="right" vertical="center"/>
    </xf>
    <xf numFmtId="177" fontId="6" fillId="0" borderId="0" applyFill="0" applyBorder="0" applyProtection="0">
      <alignment horizontal="right" vertical="center"/>
    </xf>
    <xf numFmtId="0" fontId="31" fillId="0" borderId="0" applyNumberFormat="0" applyFill="0" applyBorder="0" applyProtection="0">
      <alignment horizontal="left" vertical="center"/>
    </xf>
    <xf numFmtId="10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175" fontId="6" fillId="0" borderId="0" applyFill="0" applyBorder="0" applyAlignment="0" applyProtection="0">
      <alignment horizontal="right" vertical="center"/>
    </xf>
    <xf numFmtId="178" fontId="4" fillId="0" borderId="4" applyFill="0" applyBorder="0" applyAlignment="0" applyProtection="0">
      <alignment vertical="center"/>
    </xf>
    <xf numFmtId="0" fontId="32" fillId="0" borderId="0">
      <alignment vertical="center"/>
    </xf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74" fontId="4" fillId="0" borderId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left" vertical="center"/>
    </xf>
    <xf numFmtId="0" fontId="34" fillId="0" borderId="0"/>
    <xf numFmtId="0" fontId="35" fillId="3" borderId="0" applyProtection="0">
      <alignment vertical="center" wrapText="1"/>
    </xf>
    <xf numFmtId="0" fontId="34" fillId="0" borderId="0" applyFont="0" applyAlignment="0">
      <alignment vertical="center"/>
    </xf>
    <xf numFmtId="0" fontId="13" fillId="0" borderId="5" applyNumberFormat="0" applyFont="0" applyFill="0" applyAlignment="0" applyProtection="0"/>
    <xf numFmtId="0" fontId="13" fillId="0" borderId="5" applyNumberFormat="0" applyFont="0" applyFill="0" applyAlignment="0" applyProtection="0"/>
    <xf numFmtId="0" fontId="15" fillId="0" borderId="0" applyNumberFormat="0" applyFill="0" applyBorder="0" applyProtection="0">
      <alignment horizontal="center" vertical="center"/>
    </xf>
    <xf numFmtId="0" fontId="3" fillId="0" borderId="0"/>
    <xf numFmtId="9" fontId="3" fillId="0" borderId="0" applyFont="0" applyFill="0" applyBorder="0" applyAlignment="0" applyProtection="0"/>
    <xf numFmtId="0" fontId="40" fillId="0" borderId="0"/>
    <xf numFmtId="0" fontId="3" fillId="0" borderId="0"/>
    <xf numFmtId="180" fontId="27" fillId="0" borderId="0" applyFill="0" applyAlignment="0" applyProtection="0"/>
    <xf numFmtId="181" fontId="18" fillId="0" borderId="0" applyFont="0" applyFill="0" applyBorder="0" applyAlignment="0" applyProtection="0"/>
    <xf numFmtId="0" fontId="2" fillId="0" borderId="0"/>
    <xf numFmtId="0" fontId="18" fillId="0" borderId="0"/>
    <xf numFmtId="182" fontId="27" fillId="0" borderId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00">
    <xf numFmtId="0" fontId="0" fillId="0" borderId="0" xfId="0"/>
    <xf numFmtId="37" fontId="39" fillId="7" borderId="0" xfId="52" applyNumberFormat="1" applyFont="1" applyFill="1"/>
    <xf numFmtId="165" fontId="36" fillId="7" borderId="0" xfId="52" applyNumberFormat="1" applyFont="1" applyFill="1" applyAlignment="1">
      <alignment horizontal="right"/>
    </xf>
    <xf numFmtId="37" fontId="36" fillId="7" borderId="0" xfId="52" applyNumberFormat="1" applyFont="1" applyFill="1" applyAlignment="1">
      <alignment horizontal="right"/>
    </xf>
    <xf numFmtId="37" fontId="36" fillId="7" borderId="0" xfId="52" applyNumberFormat="1" applyFont="1" applyFill="1"/>
    <xf numFmtId="165" fontId="36" fillId="7" borderId="0" xfId="52" applyNumberFormat="1" applyFont="1" applyFill="1" applyAlignment="1">
      <alignment horizontal="right" wrapText="1"/>
    </xf>
    <xf numFmtId="165" fontId="36" fillId="7" borderId="0" xfId="52" applyNumberFormat="1" applyFont="1" applyFill="1" applyAlignment="1">
      <alignment horizontal="right" vertical="center" wrapText="1"/>
    </xf>
    <xf numFmtId="37" fontId="38" fillId="7" borderId="0" xfId="52" applyNumberFormat="1" applyFont="1" applyFill="1"/>
    <xf numFmtId="165" fontId="38" fillId="7" borderId="0" xfId="52" applyNumberFormat="1" applyFont="1" applyFill="1" applyAlignment="1">
      <alignment horizontal="right"/>
    </xf>
    <xf numFmtId="37" fontId="38" fillId="7" borderId="0" xfId="52" applyNumberFormat="1" applyFont="1" applyFill="1" applyAlignment="1">
      <alignment horizontal="right"/>
    </xf>
    <xf numFmtId="37" fontId="36" fillId="7" borderId="0" xfId="52" applyNumberFormat="1" applyFont="1" applyFill="1" applyAlignment="1">
      <alignment horizontal="left" indent="1"/>
    </xf>
    <xf numFmtId="37" fontId="36" fillId="7" borderId="0" xfId="52" applyNumberFormat="1" applyFont="1" applyFill="1" applyAlignment="1">
      <alignment horizontal="right" indent="1"/>
    </xf>
    <xf numFmtId="165" fontId="38" fillId="7" borderId="2" xfId="52" applyNumberFormat="1" applyFont="1" applyFill="1" applyBorder="1" applyAlignment="1">
      <alignment horizontal="right"/>
    </xf>
    <xf numFmtId="37" fontId="38" fillId="0" borderId="0" xfId="52" applyNumberFormat="1" applyFont="1" applyAlignment="1">
      <alignment horizontal="right"/>
    </xf>
    <xf numFmtId="165" fontId="36" fillId="7" borderId="0" xfId="52" quotePrefix="1" applyNumberFormat="1" applyFont="1" applyFill="1" applyAlignment="1">
      <alignment horizontal="right"/>
    </xf>
    <xf numFmtId="37" fontId="41" fillId="7" borderId="0" xfId="52" applyNumberFormat="1" applyFont="1" applyFill="1"/>
    <xf numFmtId="179" fontId="41" fillId="7" borderId="0" xfId="85" applyNumberFormat="1" applyFont="1" applyFill="1" applyAlignment="1">
      <alignment horizontal="right"/>
    </xf>
    <xf numFmtId="37" fontId="39" fillId="7" borderId="0" xfId="52" applyNumberFormat="1" applyFont="1" applyFill="1" applyAlignment="1">
      <alignment horizontal="right"/>
    </xf>
    <xf numFmtId="37" fontId="36" fillId="7" borderId="0" xfId="0" applyNumberFormat="1" applyFont="1" applyFill="1" applyAlignment="1">
      <alignment horizontal="left" wrapText="1" indent="1"/>
    </xf>
    <xf numFmtId="37" fontId="36" fillId="7" borderId="0" xfId="87" applyNumberFormat="1" applyFont="1" applyFill="1" applyAlignment="1">
      <alignment horizontal="left" wrapText="1" indent="1"/>
    </xf>
    <xf numFmtId="37" fontId="36" fillId="7" borderId="0" xfId="53" applyNumberFormat="1" applyFont="1" applyFill="1" applyAlignment="1">
      <alignment horizontal="left" wrapText="1" indent="1"/>
    </xf>
    <xf numFmtId="165" fontId="36" fillId="7" borderId="0" xfId="52" applyNumberFormat="1" applyFont="1" applyFill="1"/>
    <xf numFmtId="179" fontId="36" fillId="7" borderId="0" xfId="94" applyNumberFormat="1" applyFont="1" applyFill="1" applyAlignment="1">
      <alignment horizontal="right"/>
    </xf>
    <xf numFmtId="37" fontId="38" fillId="7" borderId="0" xfId="52" applyNumberFormat="1" applyFont="1" applyFill="1" applyAlignment="1">
      <alignment wrapText="1"/>
    </xf>
    <xf numFmtId="37" fontId="36" fillId="7" borderId="0" xfId="52" applyNumberFormat="1" applyFont="1" applyFill="1" applyAlignment="1">
      <alignment wrapText="1"/>
    </xf>
    <xf numFmtId="37" fontId="36" fillId="7" borderId="0" xfId="95" applyNumberFormat="1" applyFont="1" applyFill="1" applyAlignment="1">
      <alignment horizontal="left" wrapText="1"/>
    </xf>
    <xf numFmtId="37" fontId="36" fillId="7" borderId="0" xfId="52" applyNumberFormat="1" applyFont="1" applyFill="1" applyAlignment="1">
      <alignment horizontal="left" wrapText="1"/>
    </xf>
    <xf numFmtId="37" fontId="38" fillId="7" borderId="0" xfId="52" applyNumberFormat="1" applyFont="1" applyFill="1" applyAlignment="1">
      <alignment horizontal="center"/>
    </xf>
    <xf numFmtId="37" fontId="39" fillId="7" borderId="0" xfId="52" applyNumberFormat="1" applyFont="1" applyFill="1" applyAlignment="1">
      <alignment wrapText="1"/>
    </xf>
    <xf numFmtId="37" fontId="36" fillId="0" borderId="0" xfId="52" applyNumberFormat="1" applyFont="1"/>
    <xf numFmtId="37" fontId="36" fillId="8" borderId="0" xfId="52" applyNumberFormat="1" applyFont="1" applyFill="1"/>
    <xf numFmtId="37" fontId="36" fillId="8" borderId="0" xfId="52" applyNumberFormat="1" applyFont="1" applyFill="1" applyAlignment="1">
      <alignment horizontal="right"/>
    </xf>
    <xf numFmtId="165" fontId="36" fillId="8" borderId="0" xfId="52" applyNumberFormat="1" applyFont="1" applyFill="1" applyAlignment="1">
      <alignment horizontal="right"/>
    </xf>
    <xf numFmtId="37" fontId="46" fillId="7" borderId="0" xfId="52" applyNumberFormat="1" applyFont="1" applyFill="1"/>
    <xf numFmtId="37" fontId="46" fillId="7" borderId="0" xfId="52" applyNumberFormat="1" applyFont="1" applyFill="1" applyAlignment="1">
      <alignment vertical="top"/>
    </xf>
    <xf numFmtId="10" fontId="36" fillId="7" borderId="0" xfId="85" applyNumberFormat="1" applyFont="1" applyFill="1"/>
    <xf numFmtId="165" fontId="39" fillId="7" borderId="2" xfId="52" applyNumberFormat="1" applyFont="1" applyFill="1" applyBorder="1" applyAlignment="1">
      <alignment horizontal="right"/>
    </xf>
    <xf numFmtId="165" fontId="47" fillId="7" borderId="0" xfId="52" applyNumberFormat="1" applyFont="1" applyFill="1" applyAlignment="1">
      <alignment horizontal="right"/>
    </xf>
    <xf numFmtId="165" fontId="36" fillId="9" borderId="0" xfId="52" applyNumberFormat="1" applyFont="1" applyFill="1" applyAlignment="1">
      <alignment horizontal="right" wrapText="1"/>
    </xf>
    <xf numFmtId="165" fontId="36" fillId="9" borderId="0" xfId="52" applyNumberFormat="1" applyFont="1" applyFill="1" applyAlignment="1">
      <alignment horizontal="right"/>
    </xf>
    <xf numFmtId="165" fontId="38" fillId="9" borderId="0" xfId="52" applyNumberFormat="1" applyFont="1" applyFill="1" applyAlignment="1">
      <alignment horizontal="right"/>
    </xf>
    <xf numFmtId="165" fontId="38" fillId="9" borderId="2" xfId="52" applyNumberFormat="1" applyFont="1" applyFill="1" applyBorder="1" applyAlignment="1">
      <alignment horizontal="right"/>
    </xf>
    <xf numFmtId="165" fontId="48" fillId="7" borderId="0" xfId="52" applyNumberFormat="1" applyFont="1" applyFill="1" applyAlignment="1">
      <alignment horizontal="right"/>
    </xf>
    <xf numFmtId="37" fontId="48" fillId="7" borderId="0" xfId="52" applyNumberFormat="1" applyFont="1" applyFill="1" applyAlignment="1">
      <alignment horizontal="right"/>
    </xf>
    <xf numFmtId="165" fontId="37" fillId="7" borderId="0" xfId="52" applyNumberFormat="1" applyFont="1" applyFill="1" applyAlignment="1">
      <alignment horizontal="right"/>
    </xf>
    <xf numFmtId="37" fontId="37" fillId="7" borderId="0" xfId="52" applyNumberFormat="1" applyFont="1" applyFill="1" applyAlignment="1">
      <alignment horizontal="right"/>
    </xf>
    <xf numFmtId="165" fontId="37" fillId="7" borderId="2" xfId="52" applyNumberFormat="1" applyFont="1" applyFill="1" applyBorder="1" applyAlignment="1">
      <alignment horizontal="right"/>
    </xf>
    <xf numFmtId="37" fontId="49" fillId="7" borderId="0" xfId="0" applyNumberFormat="1" applyFont="1" applyFill="1" applyAlignment="1">
      <alignment horizontal="left" wrapText="1" indent="1"/>
    </xf>
    <xf numFmtId="165" fontId="49" fillId="7" borderId="0" xfId="52" applyNumberFormat="1" applyFont="1" applyFill="1" applyAlignment="1">
      <alignment horizontal="right"/>
    </xf>
    <xf numFmtId="37" fontId="49" fillId="7" borderId="0" xfId="52" applyNumberFormat="1" applyFont="1" applyFill="1"/>
    <xf numFmtId="37" fontId="49" fillId="0" borderId="0" xfId="0" applyNumberFormat="1" applyFont="1" applyAlignment="1">
      <alignment horizontal="left" wrapText="1" indent="1"/>
    </xf>
    <xf numFmtId="37" fontId="36" fillId="0" borderId="0" xfId="0" applyNumberFormat="1" applyFont="1" applyAlignment="1">
      <alignment horizontal="left" wrapText="1" indent="1"/>
    </xf>
    <xf numFmtId="165" fontId="36" fillId="0" borderId="0" xfId="52" applyNumberFormat="1" applyFont="1" applyAlignment="1">
      <alignment horizontal="right" wrapText="1"/>
    </xf>
    <xf numFmtId="165" fontId="36" fillId="0" borderId="0" xfId="52" applyNumberFormat="1" applyFont="1" applyAlignment="1">
      <alignment horizontal="right"/>
    </xf>
    <xf numFmtId="165" fontId="38" fillId="0" borderId="0" xfId="52" applyNumberFormat="1" applyFont="1" applyAlignment="1">
      <alignment horizontal="right"/>
    </xf>
    <xf numFmtId="165" fontId="49" fillId="0" borderId="0" xfId="52" applyNumberFormat="1" applyFont="1" applyAlignment="1">
      <alignment horizontal="right"/>
    </xf>
    <xf numFmtId="165" fontId="38" fillId="0" borderId="2" xfId="52" applyNumberFormat="1" applyFont="1" applyBorder="1" applyAlignment="1">
      <alignment horizontal="right"/>
    </xf>
    <xf numFmtId="165" fontId="39" fillId="7" borderId="0" xfId="52" applyNumberFormat="1" applyFont="1" applyFill="1" applyAlignment="1">
      <alignment horizontal="right"/>
    </xf>
    <xf numFmtId="165" fontId="37" fillId="0" borderId="0" xfId="52" applyNumberFormat="1" applyFont="1" applyAlignment="1">
      <alignment horizontal="right"/>
    </xf>
    <xf numFmtId="165" fontId="37" fillId="0" borderId="2" xfId="52" applyNumberFormat="1" applyFont="1" applyBorder="1" applyAlignment="1">
      <alignment horizontal="right"/>
    </xf>
    <xf numFmtId="165" fontId="48" fillId="0" borderId="0" xfId="52" applyNumberFormat="1" applyFont="1" applyAlignment="1">
      <alignment horizontal="right"/>
    </xf>
    <xf numFmtId="165" fontId="36" fillId="10" borderId="0" xfId="52" applyNumberFormat="1" applyFont="1" applyFill="1" applyAlignment="1">
      <alignment horizontal="right"/>
    </xf>
    <xf numFmtId="165" fontId="36" fillId="10" borderId="0" xfId="52" applyNumberFormat="1" applyFont="1" applyFill="1" applyAlignment="1">
      <alignment horizontal="right" wrapText="1"/>
    </xf>
    <xf numFmtId="165" fontId="38" fillId="10" borderId="0" xfId="52" applyNumberFormat="1" applyFont="1" applyFill="1" applyAlignment="1">
      <alignment horizontal="right"/>
    </xf>
    <xf numFmtId="165" fontId="38" fillId="10" borderId="2" xfId="52" applyNumberFormat="1" applyFont="1" applyFill="1" applyBorder="1" applyAlignment="1">
      <alignment horizontal="right"/>
    </xf>
    <xf numFmtId="37" fontId="36" fillId="10" borderId="0" xfId="52" applyNumberFormat="1" applyFont="1" applyFill="1"/>
    <xf numFmtId="37" fontId="45" fillId="7" borderId="0" xfId="52" applyNumberFormat="1" applyFont="1" applyFill="1" applyAlignment="1">
      <alignment horizontal="center"/>
    </xf>
    <xf numFmtId="9" fontId="36" fillId="10" borderId="0" xfId="85" applyFont="1" applyFill="1"/>
    <xf numFmtId="165" fontId="38" fillId="0" borderId="1" xfId="0" applyNumberFormat="1" applyFont="1" applyBorder="1" applyAlignment="1">
      <alignment horizontal="right" wrapText="1"/>
    </xf>
    <xf numFmtId="37" fontId="36" fillId="10" borderId="0" xfId="52" applyNumberFormat="1" applyFont="1" applyFill="1" applyAlignment="1">
      <alignment horizontal="right"/>
    </xf>
    <xf numFmtId="37" fontId="36" fillId="10" borderId="0" xfId="52" applyNumberFormat="1" applyFont="1" applyFill="1" applyAlignment="1">
      <alignment horizontal="right" indent="1"/>
    </xf>
    <xf numFmtId="165" fontId="49" fillId="10" borderId="0" xfId="52" applyNumberFormat="1" applyFont="1" applyFill="1" applyAlignment="1">
      <alignment horizontal="right"/>
    </xf>
    <xf numFmtId="37" fontId="38" fillId="10" borderId="0" xfId="52" applyNumberFormat="1" applyFont="1" applyFill="1" applyAlignment="1">
      <alignment horizontal="right"/>
    </xf>
    <xf numFmtId="165" fontId="49" fillId="0" borderId="0" xfId="0" applyNumberFormat="1" applyFont="1"/>
    <xf numFmtId="165" fontId="38" fillId="0" borderId="0" xfId="0" applyNumberFormat="1" applyFont="1" applyAlignment="1">
      <alignment horizontal="center"/>
    </xf>
    <xf numFmtId="0" fontId="38" fillId="0" borderId="7" xfId="0" applyFont="1" applyBorder="1" applyAlignment="1">
      <alignment horizontal="justify" wrapText="1"/>
    </xf>
    <xf numFmtId="0" fontId="38" fillId="0" borderId="8" xfId="0" applyFont="1" applyBorder="1" applyAlignment="1">
      <alignment horizontal="justify" wrapText="1"/>
    </xf>
    <xf numFmtId="0" fontId="38" fillId="0" borderId="9" xfId="0" applyFont="1" applyBorder="1" applyAlignment="1">
      <alignment horizontal="justify" wrapText="1"/>
    </xf>
    <xf numFmtId="0" fontId="38" fillId="0" borderId="0" xfId="0" applyFont="1" applyAlignment="1">
      <alignment horizontal="justify" wrapText="1"/>
    </xf>
    <xf numFmtId="0" fontId="49" fillId="0" borderId="7" xfId="0" applyFont="1" applyBorder="1" applyAlignment="1">
      <alignment horizontal="justify" wrapText="1"/>
    </xf>
    <xf numFmtId="0" fontId="49" fillId="0" borderId="8" xfId="0" applyFont="1" applyBorder="1" applyAlignment="1">
      <alignment horizontal="justify" wrapText="1"/>
    </xf>
    <xf numFmtId="0" fontId="49" fillId="0" borderId="0" xfId="0" applyFont="1" applyAlignment="1">
      <alignment horizontal="justify" wrapText="1"/>
    </xf>
    <xf numFmtId="0" fontId="49" fillId="0" borderId="0" xfId="0" applyFont="1" applyAlignment="1">
      <alignment wrapText="1"/>
    </xf>
    <xf numFmtId="0" fontId="49" fillId="0" borderId="0" xfId="0" applyFont="1" applyAlignment="1">
      <alignment horizontal="left" indent="1"/>
    </xf>
    <xf numFmtId="165" fontId="38" fillId="0" borderId="2" xfId="0" applyNumberFormat="1" applyFont="1" applyBorder="1"/>
    <xf numFmtId="0" fontId="49" fillId="0" borderId="0" xfId="0" applyFont="1"/>
    <xf numFmtId="165" fontId="49" fillId="0" borderId="0" xfId="0" applyNumberFormat="1" applyFont="1" applyAlignment="1">
      <alignment horizontal="right" wrapText="1"/>
    </xf>
    <xf numFmtId="165" fontId="38" fillId="0" borderId="0" xfId="0" applyNumberFormat="1" applyFont="1" applyAlignment="1">
      <alignment horizontal="right" wrapText="1"/>
    </xf>
    <xf numFmtId="0" fontId="49" fillId="0" borderId="0" xfId="0" applyFont="1" applyAlignment="1">
      <alignment horizontal="left" wrapText="1"/>
    </xf>
    <xf numFmtId="0" fontId="49" fillId="0" borderId="0" xfId="0" applyFont="1" applyAlignment="1">
      <alignment horizontal="left" wrapText="1" indent="1"/>
    </xf>
    <xf numFmtId="165" fontId="38" fillId="0" borderId="0" xfId="0" applyNumberFormat="1" applyFont="1"/>
    <xf numFmtId="0" fontId="38" fillId="0" borderId="10" xfId="0" applyFont="1" applyBorder="1" applyAlignment="1">
      <alignment horizontal="justify" wrapText="1"/>
    </xf>
    <xf numFmtId="0" fontId="38" fillId="0" borderId="11" xfId="0" applyFont="1" applyBorder="1" applyAlignment="1">
      <alignment horizontal="justify" wrapText="1"/>
    </xf>
    <xf numFmtId="0" fontId="38" fillId="0" borderId="16" xfId="0" applyFont="1" applyBorder="1" applyAlignment="1">
      <alignment horizontal="justify" wrapText="1"/>
    </xf>
    <xf numFmtId="0" fontId="38" fillId="0" borderId="17" xfId="0" applyFont="1" applyBorder="1" applyAlignment="1">
      <alignment horizontal="justify" wrapText="1"/>
    </xf>
    <xf numFmtId="0" fontId="38" fillId="0" borderId="19" xfId="0" applyFont="1" applyBorder="1" applyAlignment="1">
      <alignment horizontal="justify" wrapText="1"/>
    </xf>
    <xf numFmtId="0" fontId="38" fillId="0" borderId="20" xfId="0" applyFont="1" applyBorder="1" applyAlignment="1">
      <alignment horizontal="justify" wrapText="1"/>
    </xf>
    <xf numFmtId="183" fontId="38" fillId="0" borderId="8" xfId="96" applyNumberFormat="1" applyFont="1" applyBorder="1" applyAlignment="1">
      <alignment horizontal="justify" wrapText="1"/>
    </xf>
    <xf numFmtId="183" fontId="38" fillId="0" borderId="9" xfId="96" applyNumberFormat="1" applyFont="1" applyBorder="1" applyAlignment="1">
      <alignment horizontal="justify" wrapText="1"/>
    </xf>
    <xf numFmtId="183" fontId="49" fillId="0" borderId="8" xfId="96" applyNumberFormat="1" applyFont="1" applyBorder="1"/>
    <xf numFmtId="183" fontId="49" fillId="0" borderId="9" xfId="96" applyNumberFormat="1" applyFont="1" applyBorder="1"/>
    <xf numFmtId="183" fontId="38" fillId="0" borderId="11" xfId="96" applyNumberFormat="1" applyFont="1" applyBorder="1" applyAlignment="1">
      <alignment horizontal="justify" wrapText="1"/>
    </xf>
    <xf numFmtId="183" fontId="38" fillId="0" borderId="12" xfId="96" applyNumberFormat="1" applyFont="1" applyBorder="1" applyAlignment="1">
      <alignment horizontal="justify" wrapText="1"/>
    </xf>
    <xf numFmtId="183" fontId="38" fillId="0" borderId="17" xfId="96" applyNumberFormat="1" applyFont="1" applyBorder="1" applyAlignment="1">
      <alignment horizontal="justify" wrapText="1"/>
    </xf>
    <xf numFmtId="183" fontId="38" fillId="0" borderId="18" xfId="96" applyNumberFormat="1" applyFont="1" applyBorder="1" applyAlignment="1">
      <alignment horizontal="justify" wrapText="1"/>
    </xf>
    <xf numFmtId="183" fontId="38" fillId="0" borderId="20" xfId="96" applyNumberFormat="1" applyFont="1" applyBorder="1"/>
    <xf numFmtId="183" fontId="38" fillId="0" borderId="21" xfId="96" applyNumberFormat="1" applyFont="1" applyBorder="1"/>
    <xf numFmtId="183" fontId="49" fillId="0" borderId="8" xfId="96" applyNumberFormat="1" applyFont="1" applyBorder="1" applyAlignment="1">
      <alignment horizontal="right" wrapText="1"/>
    </xf>
    <xf numFmtId="183" fontId="49" fillId="0" borderId="9" xfId="96" applyNumberFormat="1" applyFont="1" applyBorder="1" applyAlignment="1">
      <alignment horizontal="right" wrapText="1"/>
    </xf>
    <xf numFmtId="183" fontId="38" fillId="0" borderId="8" xfId="96" applyNumberFormat="1" applyFont="1" applyBorder="1" applyAlignment="1">
      <alignment horizontal="right" wrapText="1"/>
    </xf>
    <xf numFmtId="183" fontId="38" fillId="0" borderId="9" xfId="96" applyNumberFormat="1" applyFont="1" applyBorder="1" applyAlignment="1">
      <alignment horizontal="right" wrapText="1"/>
    </xf>
    <xf numFmtId="165" fontId="49" fillId="0" borderId="0" xfId="0" applyNumberFormat="1" applyFont="1" applyAlignment="1">
      <alignment vertical="center"/>
    </xf>
    <xf numFmtId="0" fontId="49" fillId="0" borderId="7" xfId="0" applyFont="1" applyBorder="1" applyAlignment="1">
      <alignment horizontal="left" wrapText="1" indent="1"/>
    </xf>
    <xf numFmtId="0" fontId="49" fillId="0" borderId="8" xfId="0" applyFont="1" applyBorder="1" applyAlignment="1">
      <alignment horizontal="left" wrapText="1" indent="1"/>
    </xf>
    <xf numFmtId="0" fontId="49" fillId="0" borderId="7" xfId="0" applyFont="1" applyBorder="1" applyAlignment="1">
      <alignment horizontal="left" indent="1"/>
    </xf>
    <xf numFmtId="0" fontId="49" fillId="0" borderId="8" xfId="0" applyFont="1" applyBorder="1" applyAlignment="1">
      <alignment horizontal="left" indent="1"/>
    </xf>
    <xf numFmtId="0" fontId="49" fillId="0" borderId="8" xfId="0" applyFont="1" applyBorder="1" applyAlignment="1">
      <alignment horizontal="left" vertical="center" wrapText="1" indent="1"/>
    </xf>
    <xf numFmtId="0" fontId="49" fillId="0" borderId="13" xfId="0" applyFont="1" applyBorder="1" applyAlignment="1">
      <alignment horizontal="justify" wrapText="1"/>
    </xf>
    <xf numFmtId="0" fontId="49" fillId="0" borderId="14" xfId="0" applyFont="1" applyBorder="1" applyAlignment="1">
      <alignment horizontal="justify" wrapText="1"/>
    </xf>
    <xf numFmtId="183" fontId="49" fillId="0" borderId="14" xfId="96" applyNumberFormat="1" applyFont="1" applyBorder="1"/>
    <xf numFmtId="183" fontId="49" fillId="0" borderId="15" xfId="96" applyNumberFormat="1" applyFont="1" applyBorder="1"/>
    <xf numFmtId="165" fontId="49" fillId="0" borderId="1" xfId="0" applyNumberFormat="1" applyFont="1" applyBorder="1"/>
    <xf numFmtId="0" fontId="49" fillId="0" borderId="13" xfId="0" applyFont="1" applyBorder="1" applyAlignment="1">
      <alignment horizontal="justify" vertical="center" wrapText="1"/>
    </xf>
    <xf numFmtId="0" fontId="49" fillId="0" borderId="14" xfId="0" applyFont="1" applyBorder="1" applyAlignment="1">
      <alignment horizontal="justify" vertical="center" wrapText="1"/>
    </xf>
    <xf numFmtId="183" fontId="49" fillId="0" borderId="15" xfId="96" applyNumberFormat="1" applyFont="1" applyBorder="1" applyAlignment="1">
      <alignment vertical="center"/>
    </xf>
    <xf numFmtId="165" fontId="49" fillId="0" borderId="1" xfId="0" applyNumberFormat="1" applyFont="1" applyBorder="1" applyAlignment="1">
      <alignment vertical="center"/>
    </xf>
    <xf numFmtId="0" fontId="49" fillId="0" borderId="0" xfId="0" applyFont="1" applyAlignment="1">
      <alignment horizontal="justify" vertical="center" wrapText="1"/>
    </xf>
    <xf numFmtId="165" fontId="38" fillId="7" borderId="0" xfId="52" applyNumberFormat="1" applyFont="1" applyFill="1" applyAlignment="1">
      <alignment horizontal="center"/>
    </xf>
    <xf numFmtId="165" fontId="36" fillId="7" borderId="0" xfId="52" applyNumberFormat="1" applyFont="1" applyFill="1" applyAlignment="1">
      <alignment horizontal="center"/>
    </xf>
    <xf numFmtId="165" fontId="38" fillId="10" borderId="0" xfId="52" applyNumberFormat="1" applyFont="1" applyFill="1" applyAlignment="1">
      <alignment horizontal="center"/>
    </xf>
    <xf numFmtId="165" fontId="38" fillId="0" borderId="0" xfId="52" applyNumberFormat="1" applyFont="1" applyAlignment="1">
      <alignment horizontal="center"/>
    </xf>
    <xf numFmtId="37" fontId="38" fillId="7" borderId="0" xfId="52" applyNumberFormat="1" applyFont="1" applyFill="1" applyAlignment="1">
      <alignment horizontal="center" wrapText="1"/>
    </xf>
    <xf numFmtId="165" fontId="38" fillId="9" borderId="0" xfId="52" applyNumberFormat="1" applyFont="1" applyFill="1" applyAlignment="1">
      <alignment horizontal="center"/>
    </xf>
    <xf numFmtId="165" fontId="50" fillId="0" borderId="0" xfId="0" applyNumberFormat="1" applyFont="1" applyAlignment="1">
      <alignment horizontal="center" wrapText="1"/>
    </xf>
    <xf numFmtId="165" fontId="50" fillId="11" borderId="10" xfId="0" applyNumberFormat="1" applyFont="1" applyFill="1" applyBorder="1" applyAlignment="1">
      <alignment horizontal="center" wrapText="1"/>
    </xf>
    <xf numFmtId="165" fontId="50" fillId="11" borderId="11" xfId="0" applyNumberFormat="1" applyFont="1" applyFill="1" applyBorder="1" applyAlignment="1">
      <alignment horizontal="center" wrapText="1"/>
    </xf>
    <xf numFmtId="14" fontId="51" fillId="11" borderId="11" xfId="0" applyNumberFormat="1" applyFont="1" applyFill="1" applyBorder="1" applyAlignment="1">
      <alignment horizontal="center" vertical="center"/>
    </xf>
    <xf numFmtId="14" fontId="38" fillId="12" borderId="11" xfId="0" applyNumberFormat="1" applyFont="1" applyFill="1" applyBorder="1" applyAlignment="1">
      <alignment horizontal="center" vertical="center"/>
    </xf>
    <xf numFmtId="165" fontId="38" fillId="7" borderId="0" xfId="52" applyNumberFormat="1" applyFont="1" applyFill="1" applyAlignment="1">
      <alignment horizontal="center" vertical="center"/>
    </xf>
    <xf numFmtId="37" fontId="38" fillId="7" borderId="0" xfId="52" applyNumberFormat="1" applyFont="1" applyFill="1" applyAlignment="1">
      <alignment horizontal="center" vertical="center"/>
    </xf>
    <xf numFmtId="14" fontId="51" fillId="11" borderId="11" xfId="0" quotePrefix="1" applyNumberFormat="1" applyFont="1" applyFill="1" applyBorder="1" applyAlignment="1">
      <alignment horizontal="center" vertical="center"/>
    </xf>
    <xf numFmtId="165" fontId="50" fillId="11" borderId="16" xfId="0" applyNumberFormat="1" applyFont="1" applyFill="1" applyBorder="1" applyAlignment="1">
      <alignment horizontal="center" wrapText="1"/>
    </xf>
    <xf numFmtId="165" fontId="50" fillId="11" borderId="17" xfId="0" applyNumberFormat="1" applyFont="1" applyFill="1" applyBorder="1" applyAlignment="1">
      <alignment horizontal="center" wrapText="1"/>
    </xf>
    <xf numFmtId="14" fontId="38" fillId="12" borderId="17" xfId="0" applyNumberFormat="1" applyFont="1" applyFill="1" applyBorder="1" applyAlignment="1">
      <alignment horizontal="center" vertical="center" wrapText="1"/>
    </xf>
    <xf numFmtId="14" fontId="51" fillId="11" borderId="17" xfId="0" quotePrefix="1" applyNumberFormat="1" applyFont="1" applyFill="1" applyBorder="1" applyAlignment="1">
      <alignment horizontal="center" vertical="center" wrapText="1"/>
    </xf>
    <xf numFmtId="165" fontId="38" fillId="0" borderId="9" xfId="0" applyNumberFormat="1" applyFont="1" applyBorder="1" applyAlignment="1">
      <alignment horizontal="justify" wrapText="1"/>
    </xf>
    <xf numFmtId="165" fontId="38" fillId="0" borderId="9" xfId="96" applyNumberFormat="1" applyFont="1" applyBorder="1" applyAlignment="1">
      <alignment horizontal="justify" wrapText="1"/>
    </xf>
    <xf numFmtId="165" fontId="49" fillId="0" borderId="9" xfId="96" applyNumberFormat="1" applyFont="1" applyBorder="1"/>
    <xf numFmtId="14" fontId="38" fillId="12" borderId="11" xfId="97" applyNumberFormat="1" applyFont="1" applyFill="1" applyBorder="1" applyAlignment="1">
      <alignment horizontal="center" vertical="center"/>
    </xf>
    <xf numFmtId="183" fontId="38" fillId="0" borderId="18" xfId="96" applyNumberFormat="1" applyFont="1" applyBorder="1"/>
    <xf numFmtId="183" fontId="49" fillId="10" borderId="9" xfId="96" applyNumberFormat="1" applyFont="1" applyFill="1" applyBorder="1"/>
    <xf numFmtId="179" fontId="49" fillId="0" borderId="0" xfId="85" applyNumberFormat="1" applyFont="1"/>
    <xf numFmtId="183" fontId="49" fillId="0" borderId="0" xfId="0" applyNumberFormat="1" applyFont="1"/>
    <xf numFmtId="14" fontId="38" fillId="13" borderId="11" xfId="0" applyNumberFormat="1" applyFont="1" applyFill="1" applyBorder="1" applyAlignment="1">
      <alignment horizontal="center" vertical="center"/>
    </xf>
    <xf numFmtId="14" fontId="38" fillId="13" borderId="17" xfId="0" applyNumberFormat="1" applyFont="1" applyFill="1" applyBorder="1" applyAlignment="1">
      <alignment horizontal="center" vertical="center" wrapText="1"/>
    </xf>
    <xf numFmtId="14" fontId="38" fillId="13" borderId="10" xfId="0" applyNumberFormat="1" applyFont="1" applyFill="1" applyBorder="1" applyAlignment="1">
      <alignment horizontal="center" vertical="center"/>
    </xf>
    <xf numFmtId="14" fontId="38" fillId="13" borderId="16" xfId="0" applyNumberFormat="1" applyFont="1" applyFill="1" applyBorder="1" applyAlignment="1">
      <alignment horizontal="center" vertical="center" wrapText="1"/>
    </xf>
    <xf numFmtId="183" fontId="49" fillId="0" borderId="7" xfId="96" applyNumberFormat="1" applyFont="1" applyBorder="1"/>
    <xf numFmtId="183" fontId="38" fillId="0" borderId="7" xfId="96" applyNumberFormat="1" applyFont="1" applyBorder="1" applyAlignment="1">
      <alignment horizontal="justify" wrapText="1"/>
    </xf>
    <xf numFmtId="183" fontId="38" fillId="0" borderId="19" xfId="96" applyNumberFormat="1" applyFont="1" applyBorder="1"/>
    <xf numFmtId="183" fontId="38" fillId="0" borderId="10" xfId="96" applyNumberFormat="1" applyFont="1" applyBorder="1" applyAlignment="1">
      <alignment horizontal="justify" wrapText="1"/>
    </xf>
    <xf numFmtId="183" fontId="49" fillId="0" borderId="13" xfId="96" applyNumberFormat="1" applyFont="1" applyBorder="1"/>
    <xf numFmtId="183" fontId="38" fillId="0" borderId="16" xfId="96" applyNumberFormat="1" applyFont="1" applyBorder="1" applyAlignment="1">
      <alignment horizontal="justify" wrapText="1"/>
    </xf>
    <xf numFmtId="14" fontId="38" fillId="13" borderId="22" xfId="0" applyNumberFormat="1" applyFont="1" applyFill="1" applyBorder="1" applyAlignment="1">
      <alignment horizontal="center" vertical="center"/>
    </xf>
    <xf numFmtId="14" fontId="38" fillId="13" borderId="23" xfId="0" applyNumberFormat="1" applyFont="1" applyFill="1" applyBorder="1" applyAlignment="1">
      <alignment horizontal="center" vertical="center" wrapText="1"/>
    </xf>
    <xf numFmtId="183" fontId="49" fillId="0" borderId="24" xfId="96" applyNumberFormat="1" applyFont="1" applyBorder="1"/>
    <xf numFmtId="183" fontId="38" fillId="0" borderId="24" xfId="96" applyNumberFormat="1" applyFont="1" applyBorder="1" applyAlignment="1">
      <alignment horizontal="justify" wrapText="1"/>
    </xf>
    <xf numFmtId="183" fontId="38" fillId="0" borderId="25" xfId="96" applyNumberFormat="1" applyFont="1" applyBorder="1"/>
    <xf numFmtId="183" fontId="38" fillId="0" borderId="22" xfId="96" applyNumberFormat="1" applyFont="1" applyBorder="1" applyAlignment="1">
      <alignment horizontal="justify" wrapText="1"/>
    </xf>
    <xf numFmtId="183" fontId="49" fillId="0" borderId="26" xfId="96" applyNumberFormat="1" applyFont="1" applyBorder="1"/>
    <xf numFmtId="183" fontId="38" fillId="0" borderId="23" xfId="96" applyNumberFormat="1" applyFont="1" applyBorder="1" applyAlignment="1">
      <alignment horizontal="justify" wrapText="1"/>
    </xf>
    <xf numFmtId="183" fontId="49" fillId="0" borderId="0" xfId="0" applyNumberFormat="1" applyFont="1" applyAlignment="1">
      <alignment horizontal="justify" wrapText="1"/>
    </xf>
    <xf numFmtId="0" fontId="49" fillId="0" borderId="7" xfId="0" applyFont="1" applyBorder="1" applyAlignment="1">
      <alignment horizontal="left" wrapText="1" indent="2"/>
    </xf>
    <xf numFmtId="37" fontId="38" fillId="7" borderId="6" xfId="52" applyNumberFormat="1" applyFont="1" applyFill="1" applyBorder="1" applyAlignment="1">
      <alignment horizontal="center"/>
    </xf>
    <xf numFmtId="37" fontId="45" fillId="7" borderId="6" xfId="52" applyNumberFormat="1" applyFont="1" applyFill="1" applyBorder="1" applyAlignment="1">
      <alignment horizontal="center"/>
    </xf>
    <xf numFmtId="37" fontId="45" fillId="7" borderId="0" xfId="52" applyNumberFormat="1" applyFont="1" applyFill="1" applyAlignment="1">
      <alignment horizontal="center"/>
    </xf>
    <xf numFmtId="183" fontId="49" fillId="0" borderId="12" xfId="96" applyNumberFormat="1" applyFont="1" applyBorder="1"/>
    <xf numFmtId="0" fontId="38" fillId="0" borderId="0" xfId="0" applyFont="1" applyFill="1" applyBorder="1" applyAlignment="1">
      <alignment horizontal="justify" wrapText="1"/>
    </xf>
    <xf numFmtId="0" fontId="44" fillId="0" borderId="0" xfId="0" applyFont="1" applyFill="1" applyBorder="1" applyAlignment="1">
      <alignment horizontal="right" wrapText="1"/>
    </xf>
    <xf numFmtId="0" fontId="49" fillId="0" borderId="0" xfId="0" applyFont="1" applyFill="1" applyBorder="1" applyAlignment="1">
      <alignment wrapText="1"/>
    </xf>
    <xf numFmtId="0" fontId="49" fillId="0" borderId="0" xfId="0" applyFont="1" applyFill="1" applyBorder="1" applyAlignment="1">
      <alignment horizontal="left" wrapText="1"/>
    </xf>
    <xf numFmtId="165" fontId="49" fillId="0" borderId="0" xfId="0" applyNumberFormat="1" applyFont="1" applyBorder="1"/>
    <xf numFmtId="165" fontId="52" fillId="0" borderId="0" xfId="0" applyNumberFormat="1" applyFont="1"/>
    <xf numFmtId="0" fontId="53" fillId="0" borderId="29" xfId="0" applyFont="1" applyBorder="1" applyAlignment="1">
      <alignment horizontal="justify" wrapText="1"/>
    </xf>
    <xf numFmtId="183" fontId="52" fillId="0" borderId="29" xfId="96" applyNumberFormat="1" applyFont="1" applyFill="1" applyBorder="1"/>
    <xf numFmtId="183" fontId="53" fillId="0" borderId="29" xfId="96" applyNumberFormat="1" applyFont="1" applyFill="1" applyBorder="1" applyAlignment="1">
      <alignment horizontal="justify" wrapText="1"/>
    </xf>
    <xf numFmtId="183" fontId="53" fillId="0" borderId="30" xfId="96" applyNumberFormat="1" applyFont="1" applyFill="1" applyBorder="1"/>
    <xf numFmtId="183" fontId="53" fillId="0" borderId="27" xfId="96" applyNumberFormat="1" applyFont="1" applyFill="1" applyBorder="1" applyAlignment="1">
      <alignment horizontal="justify" wrapText="1"/>
    </xf>
    <xf numFmtId="183" fontId="52" fillId="0" borderId="31" xfId="96" applyNumberFormat="1" applyFont="1" applyFill="1" applyBorder="1"/>
    <xf numFmtId="183" fontId="53" fillId="0" borderId="28" xfId="96" applyNumberFormat="1" applyFont="1" applyFill="1" applyBorder="1" applyAlignment="1">
      <alignment horizontal="justify" wrapText="1"/>
    </xf>
    <xf numFmtId="165" fontId="38" fillId="0" borderId="8" xfId="0" applyNumberFormat="1" applyFont="1" applyBorder="1" applyAlignment="1">
      <alignment horizontal="right" wrapText="1"/>
    </xf>
    <xf numFmtId="184" fontId="44" fillId="0" borderId="8" xfId="0" applyNumberFormat="1" applyFont="1" applyBorder="1"/>
    <xf numFmtId="43" fontId="44" fillId="0" borderId="8" xfId="96" applyFont="1" applyBorder="1"/>
    <xf numFmtId="0" fontId="49" fillId="0" borderId="7" xfId="0" applyFont="1" applyBorder="1" applyAlignment="1">
      <alignment wrapText="1"/>
    </xf>
    <xf numFmtId="0" fontId="38" fillId="0" borderId="7" xfId="0" applyFont="1" applyBorder="1" applyAlignment="1">
      <alignment wrapText="1"/>
    </xf>
    <xf numFmtId="0" fontId="38" fillId="0" borderId="19" xfId="0" applyFont="1" applyBorder="1" applyAlignment="1">
      <alignment wrapText="1"/>
    </xf>
    <xf numFmtId="0" fontId="49" fillId="0" borderId="8" xfId="0" applyFont="1" applyBorder="1" applyAlignment="1">
      <alignment wrapText="1"/>
    </xf>
    <xf numFmtId="0" fontId="38" fillId="0" borderId="8" xfId="0" applyFont="1" applyBorder="1" applyAlignment="1">
      <alignment wrapText="1"/>
    </xf>
    <xf numFmtId="0" fontId="49" fillId="0" borderId="14" xfId="0" applyFont="1" applyBorder="1" applyAlignment="1">
      <alignment vertical="center" wrapText="1"/>
    </xf>
    <xf numFmtId="0" fontId="38" fillId="0" borderId="20" xfId="0" applyFont="1" applyBorder="1" applyAlignment="1">
      <alignment wrapText="1"/>
    </xf>
  </cellXfs>
  <cellStyles count="98">
    <cellStyle name="AFE" xfId="1" xr:uid="{00000000-0005-0000-0000-000000000000}"/>
    <cellStyle name="Beta" xfId="2" xr:uid="{00000000-0005-0000-0000-000001000000}"/>
    <cellStyle name="Column 1" xfId="3" xr:uid="{00000000-0005-0000-0000-000002000000}"/>
    <cellStyle name="Column 2" xfId="4" xr:uid="{00000000-0005-0000-0000-000003000000}"/>
    <cellStyle name="Column 3" xfId="5" xr:uid="{00000000-0005-0000-0000-000004000000}"/>
    <cellStyle name="Column 3 2" xfId="6" xr:uid="{00000000-0005-0000-0000-000005000000}"/>
    <cellStyle name="Comma 2" xfId="7" xr:uid="{00000000-0005-0000-0000-000006000000}"/>
    <cellStyle name="Comma 3" xfId="8" xr:uid="{00000000-0005-0000-0000-000007000000}"/>
    <cellStyle name="Comma 4" xfId="9" xr:uid="{00000000-0005-0000-0000-000008000000}"/>
    <cellStyle name="Comma 5" xfId="10" xr:uid="{00000000-0005-0000-0000-000009000000}"/>
    <cellStyle name="Comma 6" xfId="11" xr:uid="{00000000-0005-0000-0000-00000A000000}"/>
    <cellStyle name="Comma 7" xfId="12" xr:uid="{00000000-0005-0000-0000-00000B000000}"/>
    <cellStyle name="Comma0" xfId="13" xr:uid="{00000000-0005-0000-0000-00000C000000}"/>
    <cellStyle name="CommonB" xfId="14" xr:uid="{00000000-0005-0000-0000-00000D000000}"/>
    <cellStyle name="Currency0" xfId="15" xr:uid="{00000000-0005-0000-0000-00000E000000}"/>
    <cellStyle name="Date" xfId="16" xr:uid="{00000000-0005-0000-0000-00000F000000}"/>
    <cellStyle name="Date Table Header" xfId="17" xr:uid="{00000000-0005-0000-0000-000010000000}"/>
    <cellStyle name="Days ratio" xfId="18" xr:uid="{00000000-0005-0000-0000-000011000000}"/>
    <cellStyle name="deviant" xfId="19" xr:uid="{00000000-0005-0000-0000-000012000000}"/>
    <cellStyle name="Disclaimer" xfId="20" xr:uid="{00000000-0005-0000-0000-000013000000}"/>
    <cellStyle name="Dziesiêtny [0]_1" xfId="21" xr:uid="{00000000-0005-0000-0000-000014000000}"/>
    <cellStyle name="Dziesiêtny_1" xfId="22" xr:uid="{00000000-0005-0000-0000-000015000000}"/>
    <cellStyle name="Dziesiętny" xfId="96" builtinId="3"/>
    <cellStyle name="Dziesiętny 2" xfId="23" xr:uid="{00000000-0005-0000-0000-000016000000}"/>
    <cellStyle name="Dziesiętny 2 2" xfId="88" xr:uid="{00000000-0005-0000-0000-000017000000}"/>
    <cellStyle name="Dziesiętny 3" xfId="24" xr:uid="{00000000-0005-0000-0000-000018000000}"/>
    <cellStyle name="Dziesiętny 3 2" xfId="89" xr:uid="{00000000-0005-0000-0000-000019000000}"/>
    <cellStyle name="Dziesiętny 4" xfId="25" xr:uid="{00000000-0005-0000-0000-00001A000000}"/>
    <cellStyle name="Euro" xfId="26" xr:uid="{00000000-0005-0000-0000-00001B000000}"/>
    <cellStyle name="Exchange rate" xfId="27" xr:uid="{00000000-0005-0000-0000-00001C000000}"/>
    <cellStyle name="Fixed" xfId="28" xr:uid="{00000000-0005-0000-0000-00001D000000}"/>
    <cellStyle name="Grey" xfId="29" xr:uid="{00000000-0005-0000-0000-00001E000000}"/>
    <cellStyle name="Header1" xfId="30" xr:uid="{00000000-0005-0000-0000-00001F000000}"/>
    <cellStyle name="Header2" xfId="31" xr:uid="{00000000-0005-0000-0000-000020000000}"/>
    <cellStyle name="Heading 1 2" xfId="32" xr:uid="{00000000-0005-0000-0000-000021000000}"/>
    <cellStyle name="Heading 1 3" xfId="33" xr:uid="{00000000-0005-0000-0000-000022000000}"/>
    <cellStyle name="Heading 2 2" xfId="34" xr:uid="{00000000-0005-0000-0000-000023000000}"/>
    <cellStyle name="Heading 2 3" xfId="35" xr:uid="{00000000-0005-0000-0000-000024000000}"/>
    <cellStyle name="Hidden" xfId="36" xr:uid="{00000000-0005-0000-0000-000025000000}"/>
    <cellStyle name="Input [yellow]" xfId="37" xr:uid="{00000000-0005-0000-0000-000026000000}"/>
    <cellStyle name="Input 2" xfId="38" xr:uid="{00000000-0005-0000-0000-000027000000}"/>
    <cellStyle name="Input 3" xfId="39" xr:uid="{00000000-0005-0000-0000-000028000000}"/>
    <cellStyle name="lang" xfId="40" xr:uid="{00000000-0005-0000-0000-000029000000}"/>
    <cellStyle name="MktRatio" xfId="41" xr:uid="{00000000-0005-0000-0000-00002A000000}"/>
    <cellStyle name="Multiple" xfId="42" xr:uid="{00000000-0005-0000-0000-00002B000000}"/>
    <cellStyle name="Normal 2" xfId="43" xr:uid="{00000000-0005-0000-0000-00002C000000}"/>
    <cellStyle name="Normal 2 2" xfId="44" xr:uid="{00000000-0005-0000-0000-00002D000000}"/>
    <cellStyle name="Normal 2 3" xfId="45" xr:uid="{00000000-0005-0000-0000-00002E000000}"/>
    <cellStyle name="Normal 3" xfId="46" xr:uid="{00000000-0005-0000-0000-00002F000000}"/>
    <cellStyle name="Normal 3 2" xfId="47" xr:uid="{00000000-0005-0000-0000-000030000000}"/>
    <cellStyle name="Normal 3 3" xfId="48" xr:uid="{00000000-0005-0000-0000-000031000000}"/>
    <cellStyle name="Normal 4" xfId="49" xr:uid="{00000000-0005-0000-0000-000032000000}"/>
    <cellStyle name="Normal 5" xfId="50" xr:uid="{00000000-0005-0000-0000-000033000000}"/>
    <cellStyle name="Normal 6" xfId="51" xr:uid="{00000000-0005-0000-0000-000034000000}"/>
    <cellStyle name="Normal_SHEET" xfId="52" xr:uid="{00000000-0005-0000-0000-000035000000}"/>
    <cellStyle name="Normalny" xfId="0" builtinId="0"/>
    <cellStyle name="Normalny 2" xfId="53" xr:uid="{00000000-0005-0000-0000-000037000000}"/>
    <cellStyle name="Normalny 2 2" xfId="90" xr:uid="{00000000-0005-0000-0000-000038000000}"/>
    <cellStyle name="Normalny 2 3" xfId="95" xr:uid="{00000000-0005-0000-0000-000039000000}"/>
    <cellStyle name="Normalny 3" xfId="54" xr:uid="{00000000-0005-0000-0000-00003A000000}"/>
    <cellStyle name="Normalny 3 2" xfId="91" xr:uid="{00000000-0005-0000-0000-00003B000000}"/>
    <cellStyle name="Normalny 4" xfId="55" xr:uid="{00000000-0005-0000-0000-00003C000000}"/>
    <cellStyle name="Normalny 5" xfId="56" xr:uid="{00000000-0005-0000-0000-00003D000000}"/>
    <cellStyle name="Normalny 5 2" xfId="57" xr:uid="{00000000-0005-0000-0000-00003E000000}"/>
    <cellStyle name="Normalny 6" xfId="58" xr:uid="{00000000-0005-0000-0000-00003F000000}"/>
    <cellStyle name="Normalny 7" xfId="59" xr:uid="{00000000-0005-0000-0000-000040000000}"/>
    <cellStyle name="Normalny 7 2" xfId="84" xr:uid="{00000000-0005-0000-0000-000041000000}"/>
    <cellStyle name="Normalny 8" xfId="86" xr:uid="{00000000-0005-0000-0000-000042000000}"/>
    <cellStyle name="Normalny 8 2" xfId="87" xr:uid="{00000000-0005-0000-0000-000043000000}"/>
    <cellStyle name="Normalny 9" xfId="93" xr:uid="{00000000-0005-0000-0000-000044000000}"/>
    <cellStyle name="Number" xfId="60" xr:uid="{00000000-0005-0000-0000-000045000000}"/>
    <cellStyle name="Number 2" xfId="61" xr:uid="{00000000-0005-0000-0000-000046000000}"/>
    <cellStyle name="Number 3" xfId="62" xr:uid="{00000000-0005-0000-0000-000047000000}"/>
    <cellStyle name="NumC1" xfId="63" xr:uid="{00000000-0005-0000-0000-000048000000}"/>
    <cellStyle name="NumC2" xfId="64" xr:uid="{00000000-0005-0000-0000-000049000000}"/>
    <cellStyle name="Page header" xfId="65" xr:uid="{00000000-0005-0000-0000-00004A000000}"/>
    <cellStyle name="Percent [2]" xfId="66" xr:uid="{00000000-0005-0000-0000-00004B000000}"/>
    <cellStyle name="Percent 2" xfId="67" xr:uid="{00000000-0005-0000-0000-00004C000000}"/>
    <cellStyle name="Percent 3" xfId="68" xr:uid="{00000000-0005-0000-0000-00004D000000}"/>
    <cellStyle name="Percent1" xfId="69" xr:uid="{00000000-0005-0000-0000-00004E000000}"/>
    <cellStyle name="Percentage" xfId="70" xr:uid="{00000000-0005-0000-0000-00004F000000}"/>
    <cellStyle name="Poufne/Confidential" xfId="71" xr:uid="{00000000-0005-0000-0000-000050000000}"/>
    <cellStyle name="Procentowy" xfId="85" builtinId="5"/>
    <cellStyle name="Procentowy 2" xfId="72" xr:uid="{00000000-0005-0000-0000-000052000000}"/>
    <cellStyle name="Procentowy 2 2" xfId="73" xr:uid="{00000000-0005-0000-0000-000053000000}"/>
    <cellStyle name="Procentowy 3" xfId="74" xr:uid="{00000000-0005-0000-0000-000054000000}"/>
    <cellStyle name="Procentowy 3 2" xfId="75" xr:uid="{00000000-0005-0000-0000-000055000000}"/>
    <cellStyle name="Procentowy 4" xfId="94" xr:uid="{00000000-0005-0000-0000-000056000000}"/>
    <cellStyle name="Ratio" xfId="76" xr:uid="{00000000-0005-0000-0000-000057000000}"/>
    <cellStyle name="Report" xfId="77" xr:uid="{00000000-0005-0000-0000-000058000000}"/>
    <cellStyle name="STYLE1 - Style1" xfId="78" xr:uid="{00000000-0005-0000-0000-000059000000}"/>
    <cellStyle name="Table header" xfId="79" xr:uid="{00000000-0005-0000-0000-00005A000000}"/>
    <cellStyle name="þ_x001d_ð7_x000c_îþ_x0007__x000d_áþV_x0001_k_x0010_y,_x0007__x0001__x0001_" xfId="80" xr:uid="{00000000-0005-0000-0000-00005B000000}"/>
    <cellStyle name="Total 2" xfId="81" xr:uid="{00000000-0005-0000-0000-00005C000000}"/>
    <cellStyle name="Total 3" xfId="82" xr:uid="{00000000-0005-0000-0000-00005D000000}"/>
    <cellStyle name="Unit" xfId="83" xr:uid="{00000000-0005-0000-0000-00005E000000}"/>
    <cellStyle name="Walutowy" xfId="97" builtinId="4"/>
    <cellStyle name="Walutowy 2" xfId="92" xr:uid="{00000000-0005-0000-0000-00005F000000}"/>
  </cellStyles>
  <dxfs count="0"/>
  <tableStyles count="0" defaultTableStyle="TableStyleMedium2" defaultPivotStyle="PivotStyleLight16"/>
  <colors>
    <mruColors>
      <color rgb="FF336699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Konsola/Konsole%20kwartalne/konsole%20kwartalne%20od%20ksi&#281;gowo&#347;ci/2026/Q1.2026%20Arkusz%20Konsolidacyjny%20MSSF_ver4.xlsx" TargetMode="External"/><Relationship Id="rId2" Type="http://schemas.openxmlformats.org/officeDocument/2006/relationships/externalLinkPath" Target="file:///\\mac-fls0041\finanse\Controling\KONTROLING\Konsola\Konsole%20kwartalne\konsole%20kwartalne%20od%20ksi&#281;gowo&#347;ci\2026\Q1.2026%20Arkusz%20Konsolidacyjny%20MSSF_ver4.xlsx" TargetMode="External"/><Relationship Id="rId1" Type="http://schemas.openxmlformats.org/officeDocument/2006/relationships/externalLinkPath" Target="/Controling/KONTROLING/Konsola/Konsole%20kwartalne/konsole%20kwartalne%20od%20ksi&#281;gowo&#347;ci/2026/Q1.2026%20Arkusz%20Konsolidacyjny%20MSSF_ver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ersion"/>
      <sheetName val="P&amp;L Grupa"/>
      <sheetName val="BALANCE"/>
      <sheetName val="Balance Sheet"/>
      <sheetName val="Income Statement"/>
      <sheetName val="P&amp;L monthly"/>
      <sheetName val="RZiS wyłączenia"/>
      <sheetName val="Wynik"/>
      <sheetName val="Cash Flow"/>
      <sheetName val="RPP (noty)"/>
      <sheetName val="P&amp;L kwartał"/>
      <sheetName val="podatek"/>
      <sheetName val="P&amp;L (analizy SciGen)"/>
      <sheetName val="SRPPBilans"/>
      <sheetName val="Arkusz5"/>
      <sheetName val="BILANs v1c vs v1d"/>
      <sheetName val="Arkusz3"/>
      <sheetName val="zał do RPP"/>
      <sheetName val="Cash Flow (2)"/>
      <sheetName val="Arkusz4"/>
      <sheetName val="Arkusz2"/>
      <sheetName val="Korekta_Marży_BT"/>
      <sheetName val="Zapas BT"/>
      <sheetName val="Marża BT"/>
      <sheetName val="Arkusz1"/>
    </sheetNames>
    <sheetDataSet>
      <sheetData sheetId="0"/>
      <sheetData sheetId="1"/>
      <sheetData sheetId="2"/>
      <sheetData sheetId="3">
        <row r="10">
          <cell r="E10">
            <v>272525937.19</v>
          </cell>
        </row>
        <row r="11">
          <cell r="E11">
            <v>13984650.630000003</v>
          </cell>
        </row>
        <row r="12">
          <cell r="E12">
            <v>0</v>
          </cell>
        </row>
        <row r="14">
          <cell r="E14">
            <v>322921394.21000004</v>
          </cell>
        </row>
        <row r="15">
          <cell r="E15">
            <v>4923099.17</v>
          </cell>
        </row>
        <row r="16">
          <cell r="E16">
            <v>11628541.619999999</v>
          </cell>
        </row>
        <row r="46">
          <cell r="E46">
            <v>3965239.4300000072</v>
          </cell>
        </row>
        <row r="67">
          <cell r="E67">
            <v>0</v>
          </cell>
        </row>
        <row r="85">
          <cell r="E85">
            <v>69842.53</v>
          </cell>
        </row>
        <row r="100">
          <cell r="E100">
            <v>103990546.27</v>
          </cell>
        </row>
        <row r="107">
          <cell r="E107">
            <v>1686539.6800000002</v>
          </cell>
        </row>
        <row r="112">
          <cell r="E112">
            <v>38004342.670000002</v>
          </cell>
        </row>
        <row r="148">
          <cell r="E148">
            <v>0</v>
          </cell>
        </row>
        <row r="150">
          <cell r="E150">
            <v>2525187.7000000002</v>
          </cell>
        </row>
        <row r="161">
          <cell r="E161">
            <v>6322878.9800000004</v>
          </cell>
        </row>
        <row r="184">
          <cell r="E184">
            <v>0</v>
          </cell>
        </row>
        <row r="199">
          <cell r="E199">
            <v>1717284000</v>
          </cell>
        </row>
        <row r="201">
          <cell r="E201">
            <v>57130617.440000057</v>
          </cell>
        </row>
        <row r="202">
          <cell r="E202">
            <v>260775667.41999999</v>
          </cell>
        </row>
        <row r="212">
          <cell r="E212">
            <v>-268623123.10999995</v>
          </cell>
        </row>
        <row r="215">
          <cell r="E215">
            <v>0</v>
          </cell>
        </row>
        <row r="231">
          <cell r="E231">
            <v>-1167172303.4200001</v>
          </cell>
        </row>
        <row r="405">
          <cell r="E405">
            <v>6590909.0499999998</v>
          </cell>
        </row>
        <row r="408">
          <cell r="E408">
            <v>14116613.41</v>
          </cell>
        </row>
        <row r="409">
          <cell r="E409">
            <v>1234397.58</v>
          </cell>
        </row>
        <row r="435">
          <cell r="E435">
            <v>2393783.1800000002</v>
          </cell>
        </row>
        <row r="436">
          <cell r="E436">
            <v>30273259.629999999</v>
          </cell>
        </row>
        <row r="439">
          <cell r="E439">
            <v>12400897</v>
          </cell>
        </row>
        <row r="444">
          <cell r="E444">
            <v>29674052.079999998</v>
          </cell>
        </row>
        <row r="445">
          <cell r="E445">
            <v>7058922.9800000023</v>
          </cell>
        </row>
        <row r="450">
          <cell r="E450">
            <v>48214175.859999999</v>
          </cell>
        </row>
        <row r="475">
          <cell r="E475">
            <v>0</v>
          </cell>
        </row>
        <row r="478">
          <cell r="E478">
            <v>31196330.980000004</v>
          </cell>
        </row>
      </sheetData>
      <sheetData sheetId="4">
        <row r="9">
          <cell r="E9">
            <v>50736333.990000002</v>
          </cell>
        </row>
        <row r="11">
          <cell r="E11">
            <v>35233772.310000002</v>
          </cell>
        </row>
        <row r="13">
          <cell r="E13">
            <v>1646120.74</v>
          </cell>
        </row>
        <row r="17">
          <cell r="E17">
            <v>3125878.37</v>
          </cell>
        </row>
        <row r="41">
          <cell r="E41">
            <v>10441776.720000001</v>
          </cell>
        </row>
        <row r="42">
          <cell r="E42">
            <v>8318140.6100000003</v>
          </cell>
        </row>
        <row r="43">
          <cell r="E43">
            <v>1073192.1499999999</v>
          </cell>
        </row>
        <row r="46">
          <cell r="E46">
            <v>1794738.18</v>
          </cell>
        </row>
        <row r="80">
          <cell r="E80">
            <v>749137.27999999991</v>
          </cell>
        </row>
        <row r="118">
          <cell r="E118">
            <v>1752831.6199999999</v>
          </cell>
        </row>
        <row r="160">
          <cell r="E160">
            <v>-80336</v>
          </cell>
        </row>
      </sheetData>
      <sheetData sheetId="5"/>
      <sheetData sheetId="6"/>
      <sheetData sheetId="7"/>
      <sheetData sheetId="8">
        <row r="10">
          <cell r="D10">
            <v>-5568886.6900000013</v>
          </cell>
          <cell r="AJ10">
            <v>-5254375.0199120007</v>
          </cell>
        </row>
        <row r="48">
          <cell r="D48">
            <v>28506080.039999999</v>
          </cell>
          <cell r="AJ48">
            <v>28770668.879999999</v>
          </cell>
        </row>
        <row r="49">
          <cell r="D49">
            <v>943339.56</v>
          </cell>
          <cell r="AJ49">
            <v>1043147.2899119995</v>
          </cell>
        </row>
        <row r="60">
          <cell r="D60">
            <v>2950339.9</v>
          </cell>
          <cell r="AJ60">
            <v>3819715.3400000003</v>
          </cell>
        </row>
        <row r="66">
          <cell r="D66">
            <v>142939.04999999999</v>
          </cell>
          <cell r="AJ66">
            <v>143149.69999999998</v>
          </cell>
        </row>
        <row r="82">
          <cell r="D82">
            <v>0</v>
          </cell>
          <cell r="AJ82">
            <v>367302</v>
          </cell>
        </row>
        <row r="83">
          <cell r="AJ83">
            <v>-147675</v>
          </cell>
        </row>
        <row r="84">
          <cell r="D84">
            <v>0</v>
          </cell>
          <cell r="AJ84">
            <v>-352398.23</v>
          </cell>
        </row>
        <row r="87">
          <cell r="D87">
            <v>-12516503.5</v>
          </cell>
          <cell r="AJ87">
            <v>-12401003.590000004</v>
          </cell>
        </row>
        <row r="90">
          <cell r="D90">
            <v>22970004.75999999</v>
          </cell>
          <cell r="AJ90">
            <v>22688038.219999991</v>
          </cell>
        </row>
        <row r="93">
          <cell r="D93">
            <v>-10247338.420487812</v>
          </cell>
          <cell r="AJ93">
            <v>-11968650.670487812</v>
          </cell>
        </row>
        <row r="98">
          <cell r="D98">
            <v>-1505936.3699999996</v>
          </cell>
          <cell r="AJ98">
            <v>-1737443.0099999998</v>
          </cell>
        </row>
        <row r="101">
          <cell r="D101">
            <v>3256242.8699999992</v>
          </cell>
          <cell r="AJ101">
            <v>3507205.9400000013</v>
          </cell>
        </row>
        <row r="106">
          <cell r="D106">
            <v>-15680652.550000008</v>
          </cell>
          <cell r="AJ106">
            <v>-15201695.410000008</v>
          </cell>
        </row>
        <row r="112">
          <cell r="D112">
            <v>56910.57</v>
          </cell>
          <cell r="AJ112">
            <v>56910.57</v>
          </cell>
        </row>
        <row r="113">
          <cell r="D113">
            <v>0</v>
          </cell>
          <cell r="AJ113">
            <v>0</v>
          </cell>
        </row>
        <row r="115">
          <cell r="AJ115">
            <v>0</v>
          </cell>
        </row>
        <row r="117">
          <cell r="D117">
            <v>6967413.8695121687</v>
          </cell>
          <cell r="AJ117">
            <v>6967413.8695121687</v>
          </cell>
        </row>
        <row r="127">
          <cell r="AJ127">
            <v>0</v>
          </cell>
        </row>
        <row r="132">
          <cell r="D132">
            <v>8000000</v>
          </cell>
          <cell r="AJ132">
            <v>8000000</v>
          </cell>
        </row>
        <row r="134">
          <cell r="D134">
            <v>0</v>
          </cell>
        </row>
        <row r="135">
          <cell r="AJ135">
            <v>0</v>
          </cell>
        </row>
        <row r="138">
          <cell r="D138">
            <v>16655846.66</v>
          </cell>
          <cell r="AJ138">
            <v>16664462.74</v>
          </cell>
        </row>
        <row r="139">
          <cell r="D139">
            <v>5344858.7700000005</v>
          </cell>
          <cell r="AJ139">
            <v>5390346.9700000007</v>
          </cell>
        </row>
        <row r="141">
          <cell r="D141">
            <v>4268222.700000003</v>
          </cell>
          <cell r="AJ141">
            <v>4518029.1600000029</v>
          </cell>
        </row>
        <row r="142">
          <cell r="D142">
            <v>0</v>
          </cell>
          <cell r="AJ142">
            <v>0</v>
          </cell>
        </row>
        <row r="144">
          <cell r="D144">
            <v>-11929802.780000005</v>
          </cell>
          <cell r="AJ144">
            <v>-12207355.730000004</v>
          </cell>
        </row>
        <row r="145">
          <cell r="D145">
            <v>6737623.6899999995</v>
          </cell>
          <cell r="AJ145">
            <v>6971296.5899999999</v>
          </cell>
        </row>
        <row r="147">
          <cell r="D147">
            <v>6737623.6899999995</v>
          </cell>
          <cell r="AJ147">
            <v>6971296.5899999999</v>
          </cell>
        </row>
        <row r="148">
          <cell r="AJ148">
            <v>0</v>
          </cell>
        </row>
        <row r="149">
          <cell r="AJ149">
            <v>-5236059.1400000043</v>
          </cell>
        </row>
        <row r="151">
          <cell r="D151">
            <v>-5192179.0900000054</v>
          </cell>
          <cell r="AJ151">
            <v>-5236059.1400000043</v>
          </cell>
        </row>
        <row r="152">
          <cell r="AJ152">
            <v>0</v>
          </cell>
        </row>
        <row r="153">
          <cell r="AJ153">
            <v>-5236059.1400000043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3366"/>
    <pageSetUpPr fitToPage="1"/>
  </sheetPr>
  <dimension ref="A2:AR75"/>
  <sheetViews>
    <sheetView showGridLines="0" tabSelected="1" workbookViewId="0">
      <pane xSplit="3" ySplit="6" topLeftCell="D7" activePane="bottomRight" state="frozen"/>
      <selection activeCell="B5" sqref="B5"/>
      <selection pane="topRight" activeCell="B5" sqref="B5"/>
      <selection pane="bottomLeft" activeCell="B5" sqref="B5"/>
      <selection pane="bottomRight" activeCell="C78" sqref="C78"/>
    </sheetView>
  </sheetViews>
  <sheetFormatPr defaultColWidth="9.1796875" defaultRowHeight="10.5"/>
  <cols>
    <col min="1" max="1" width="2.81640625" style="73" customWidth="1"/>
    <col min="2" max="2" width="63" style="73" customWidth="1"/>
    <col min="3" max="3" width="45.453125" style="73" customWidth="1"/>
    <col min="4" max="5" width="13.453125" style="73" customWidth="1"/>
    <col min="6" max="6" width="13" style="73" customWidth="1"/>
    <col min="7" max="7" width="14.1796875" style="73" customWidth="1"/>
    <col min="8" max="8" width="13.453125" style="73" customWidth="1"/>
    <col min="9" max="9" width="12.1796875" style="73" customWidth="1"/>
    <col min="10" max="11" width="12.453125" style="73" customWidth="1"/>
    <col min="12" max="12" width="13.453125" style="73" customWidth="1"/>
    <col min="13" max="13" width="14" style="73" customWidth="1"/>
    <col min="14" max="14" width="14.1796875" style="73" customWidth="1"/>
    <col min="15" max="15" width="14.453125" style="73" customWidth="1"/>
    <col min="16" max="16" width="13.453125" style="73" customWidth="1"/>
    <col min="17" max="18" width="12" style="73" customWidth="1"/>
    <col min="19" max="19" width="12.1796875" style="73" customWidth="1"/>
    <col min="20" max="20" width="12.81640625" style="73" customWidth="1"/>
    <col min="21" max="21" width="12" style="73" customWidth="1"/>
    <col min="22" max="22" width="13.453125" style="73" customWidth="1"/>
    <col min="23" max="23" width="14" style="73" customWidth="1"/>
    <col min="24" max="24" width="12.54296875" style="73" customWidth="1"/>
    <col min="25" max="26" width="11.54296875" style="73" customWidth="1"/>
    <col min="27" max="16384" width="9.1796875" style="73"/>
  </cols>
  <sheetData>
    <row r="2" spans="1:44">
      <c r="B2" s="90" t="s">
        <v>167</v>
      </c>
    </row>
    <row r="3" spans="1:44">
      <c r="B3" s="73" t="s">
        <v>168</v>
      </c>
    </row>
    <row r="5" spans="1:44" s="74" customFormat="1" ht="20.5" customHeight="1">
      <c r="A5" s="133"/>
      <c r="B5" s="134"/>
      <c r="C5" s="135"/>
      <c r="D5" s="137">
        <v>46112</v>
      </c>
      <c r="E5" s="136">
        <v>46022</v>
      </c>
      <c r="F5" s="137">
        <v>45930</v>
      </c>
      <c r="G5" s="137">
        <v>45838</v>
      </c>
      <c r="H5" s="137">
        <v>45747</v>
      </c>
      <c r="I5" s="136">
        <v>45657</v>
      </c>
      <c r="J5" s="137">
        <v>45565</v>
      </c>
      <c r="K5" s="137">
        <v>45473</v>
      </c>
      <c r="L5" s="137">
        <v>45382</v>
      </c>
      <c r="M5" s="136">
        <v>45291</v>
      </c>
      <c r="N5" s="137">
        <v>45199</v>
      </c>
      <c r="O5" s="137">
        <v>45107</v>
      </c>
      <c r="P5" s="137">
        <v>45016</v>
      </c>
      <c r="Q5" s="136">
        <v>44926</v>
      </c>
      <c r="R5" s="137">
        <v>44834</v>
      </c>
      <c r="S5" s="137">
        <v>44742</v>
      </c>
      <c r="T5" s="137">
        <v>44651</v>
      </c>
      <c r="U5" s="136">
        <v>44561</v>
      </c>
      <c r="V5" s="137">
        <v>44469</v>
      </c>
      <c r="W5" s="137">
        <v>44377</v>
      </c>
      <c r="X5" s="148">
        <v>44286</v>
      </c>
    </row>
    <row r="6" spans="1:44" ht="5.5" customHeight="1"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45"/>
      <c r="Y6" s="78"/>
      <c r="Z6" s="78"/>
    </row>
    <row r="7" spans="1:44">
      <c r="B7" s="75" t="s">
        <v>0</v>
      </c>
      <c r="C7" s="76" t="s">
        <v>136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146"/>
      <c r="Y7" s="78"/>
      <c r="Z7" s="78"/>
    </row>
    <row r="8" spans="1:44" ht="5.5" customHeight="1">
      <c r="B8" s="75"/>
      <c r="C8" s="76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146"/>
      <c r="Y8" s="78"/>
      <c r="Z8" s="78"/>
    </row>
    <row r="9" spans="1:44">
      <c r="B9" s="75" t="s">
        <v>1</v>
      </c>
      <c r="C9" s="76" t="s">
        <v>137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47"/>
      <c r="Y9" s="78"/>
      <c r="Z9" s="78"/>
    </row>
    <row r="10" spans="1:44" ht="11.25" customHeight="1">
      <c r="B10" s="112" t="s">
        <v>2</v>
      </c>
      <c r="C10" s="113" t="s">
        <v>138</v>
      </c>
      <c r="D10" s="100">
        <v>272525937.19</v>
      </c>
      <c r="E10" s="100">
        <v>273739268.90000004</v>
      </c>
      <c r="F10" s="100">
        <v>274779458.96000004</v>
      </c>
      <c r="G10" s="100">
        <v>277295783.24000001</v>
      </c>
      <c r="H10" s="100">
        <v>280064542.69000006</v>
      </c>
      <c r="I10" s="100">
        <v>283117478.05999994</v>
      </c>
      <c r="J10" s="100">
        <v>286375451.74000001</v>
      </c>
      <c r="K10" s="100">
        <v>292183596.99000001</v>
      </c>
      <c r="L10" s="100">
        <v>295126406.27000004</v>
      </c>
      <c r="M10" s="100">
        <v>274670907.51999998</v>
      </c>
      <c r="N10" s="100">
        <v>268484070.93000001</v>
      </c>
      <c r="O10" s="100">
        <v>270858043.00999999</v>
      </c>
      <c r="P10" s="100">
        <v>272526846.88</v>
      </c>
      <c r="Q10" s="100">
        <v>275050663.14999998</v>
      </c>
      <c r="R10" s="100">
        <v>278547685.97000003</v>
      </c>
      <c r="S10" s="100">
        <v>280825896.54000002</v>
      </c>
      <c r="T10" s="100">
        <v>283541481.08000004</v>
      </c>
      <c r="U10" s="100">
        <v>286551174.38</v>
      </c>
      <c r="V10" s="100">
        <v>291394766.56999993</v>
      </c>
      <c r="W10" s="100">
        <v>306584602.05999994</v>
      </c>
      <c r="X10" s="100">
        <v>306922819.09999996</v>
      </c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</row>
    <row r="11" spans="1:44">
      <c r="B11" s="112" t="s">
        <v>139</v>
      </c>
      <c r="C11" s="113" t="s">
        <v>140</v>
      </c>
      <c r="D11" s="100">
        <v>15209245.030000003</v>
      </c>
      <c r="E11" s="100">
        <v>13625231.879999999</v>
      </c>
      <c r="F11" s="100">
        <v>13728539.140000001</v>
      </c>
      <c r="G11" s="100">
        <v>14524603.98</v>
      </c>
      <c r="H11" s="100">
        <v>13037897.220000001</v>
      </c>
      <c r="I11" s="100">
        <v>14185717.870000001</v>
      </c>
      <c r="J11" s="100">
        <v>8191065.9200000018</v>
      </c>
      <c r="K11" s="100">
        <v>9294575.2200000007</v>
      </c>
      <c r="L11" s="100">
        <v>10415370.109999999</v>
      </c>
      <c r="M11" s="100">
        <v>11535032.420000002</v>
      </c>
      <c r="N11" s="100">
        <v>12654694.859999999</v>
      </c>
      <c r="O11" s="100">
        <v>10826252.429999998</v>
      </c>
      <c r="P11" s="100">
        <v>9952803.0699999984</v>
      </c>
      <c r="Q11" s="100">
        <v>9961102.6199999992</v>
      </c>
      <c r="R11" s="100">
        <v>10538605.189999999</v>
      </c>
      <c r="S11" s="100">
        <v>10739183.470000001</v>
      </c>
      <c r="T11" s="100">
        <v>11072046.550000001</v>
      </c>
      <c r="U11" s="100">
        <v>11772275.91</v>
      </c>
      <c r="V11" s="100">
        <v>11913775.1</v>
      </c>
      <c r="W11" s="100">
        <v>5.8207660913467407E-11</v>
      </c>
      <c r="X11" s="100">
        <v>460664.1799999997</v>
      </c>
      <c r="Y11" s="81"/>
      <c r="Z11" s="81"/>
    </row>
    <row r="12" spans="1:44">
      <c r="B12" s="112" t="s">
        <v>323</v>
      </c>
      <c r="C12" s="113" t="s">
        <v>324</v>
      </c>
      <c r="D12" s="100">
        <v>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v>1357243</v>
      </c>
      <c r="R12" s="100">
        <v>1357243</v>
      </c>
      <c r="S12" s="100">
        <v>1357243</v>
      </c>
      <c r="T12" s="100">
        <v>1357243</v>
      </c>
      <c r="U12" s="100">
        <v>1357243</v>
      </c>
      <c r="V12" s="100">
        <v>1357243</v>
      </c>
      <c r="W12" s="100">
        <v>1357243</v>
      </c>
      <c r="X12" s="100">
        <v>1357243</v>
      </c>
      <c r="Y12" s="81"/>
      <c r="Z12" s="81"/>
    </row>
    <row r="13" spans="1:44" ht="11.25" customHeight="1">
      <c r="B13" s="112" t="s">
        <v>141</v>
      </c>
      <c r="C13" s="113" t="s">
        <v>145</v>
      </c>
      <c r="D13" s="100">
        <v>323487657.87000006</v>
      </c>
      <c r="E13" s="100">
        <v>327060109.27000004</v>
      </c>
      <c r="F13" s="100">
        <v>330026272.32000005</v>
      </c>
      <c r="G13" s="100">
        <v>333675044.31000006</v>
      </c>
      <c r="H13" s="100">
        <v>336438361.63000005</v>
      </c>
      <c r="I13" s="100">
        <v>337730953.44999999</v>
      </c>
      <c r="J13" s="100">
        <v>339927647.51000005</v>
      </c>
      <c r="K13" s="100">
        <v>339055430.67000002</v>
      </c>
      <c r="L13" s="100">
        <v>340419993.48999995</v>
      </c>
      <c r="M13" s="100">
        <v>363881977.56</v>
      </c>
      <c r="N13" s="100">
        <v>370648690.3300001</v>
      </c>
      <c r="O13" s="100">
        <v>367219563.20000005</v>
      </c>
      <c r="P13" s="100">
        <v>362403370.69</v>
      </c>
      <c r="Q13" s="100">
        <v>362974695.73000002</v>
      </c>
      <c r="R13" s="100">
        <v>364299581.08000004</v>
      </c>
      <c r="S13" s="100">
        <v>365306014.38999999</v>
      </c>
      <c r="T13" s="100">
        <v>365813573.16000003</v>
      </c>
      <c r="U13" s="100">
        <v>362336590.89000005</v>
      </c>
      <c r="V13" s="100">
        <v>364007905.91000003</v>
      </c>
      <c r="W13" s="100">
        <v>366161575.70999998</v>
      </c>
      <c r="X13" s="100">
        <v>370457748.73000002</v>
      </c>
      <c r="Y13" s="82"/>
      <c r="Z13" s="82"/>
    </row>
    <row r="14" spans="1:44">
      <c r="B14" s="112" t="s">
        <v>142</v>
      </c>
      <c r="C14" s="113" t="s">
        <v>146</v>
      </c>
      <c r="D14" s="100">
        <v>4923099.17</v>
      </c>
      <c r="E14" s="100">
        <v>4942429.0999999996</v>
      </c>
      <c r="F14" s="100">
        <v>4961759.0199999996</v>
      </c>
      <c r="G14" s="100">
        <v>4981088.95</v>
      </c>
      <c r="H14" s="100">
        <v>5000418.87</v>
      </c>
      <c r="I14" s="100">
        <v>5019748.8</v>
      </c>
      <c r="J14" s="100">
        <v>5039078.72</v>
      </c>
      <c r="K14" s="100">
        <v>5058408.6500000004</v>
      </c>
      <c r="L14" s="100">
        <v>5077738.57</v>
      </c>
      <c r="M14" s="100">
        <v>5097068.5</v>
      </c>
      <c r="N14" s="100">
        <v>5116398.42</v>
      </c>
      <c r="O14" s="100">
        <v>5135728.3499999996</v>
      </c>
      <c r="P14" s="100">
        <v>5155058.2699999996</v>
      </c>
      <c r="Q14" s="100">
        <v>5174388.2</v>
      </c>
      <c r="R14" s="100">
        <v>5193718.12</v>
      </c>
      <c r="S14" s="100">
        <v>5213048.05</v>
      </c>
      <c r="T14" s="100">
        <v>5232377.97</v>
      </c>
      <c r="U14" s="100">
        <v>5246767.6400000006</v>
      </c>
      <c r="V14" s="100">
        <v>5271037.82</v>
      </c>
      <c r="W14" s="100">
        <v>5329010.8099999996</v>
      </c>
      <c r="X14" s="100">
        <v>5309697.67</v>
      </c>
      <c r="Y14" s="81"/>
      <c r="Z14" s="81"/>
    </row>
    <row r="15" spans="1:44">
      <c r="B15" s="112" t="s">
        <v>143</v>
      </c>
      <c r="C15" s="113" t="s">
        <v>147</v>
      </c>
      <c r="D15" s="100">
        <v>1.9000030588358641E-3</v>
      </c>
      <c r="E15" s="100">
        <v>1.9000030588358641E-3</v>
      </c>
      <c r="F15" s="100">
        <v>1.9000030588358641E-3</v>
      </c>
      <c r="G15" s="100">
        <v>-6.1811297200620174E-4</v>
      </c>
      <c r="H15" s="100">
        <v>0</v>
      </c>
      <c r="I15" s="100">
        <v>-6.1811134219169617E-4</v>
      </c>
      <c r="J15" s="100">
        <v>-6.1811285559087992E-4</v>
      </c>
      <c r="K15" s="100">
        <v>-6.1811285559087992E-4</v>
      </c>
      <c r="L15" s="100">
        <v>-6.1811285559087992E-4</v>
      </c>
      <c r="M15" s="100">
        <v>-6.1811285559087992E-4</v>
      </c>
      <c r="N15" s="100">
        <v>1012472.5993818886</v>
      </c>
      <c r="O15" s="100">
        <v>898487.59938188863</v>
      </c>
      <c r="P15" s="100">
        <v>1409141.5993818888</v>
      </c>
      <c r="Q15" s="100">
        <v>2228629.5993818888</v>
      </c>
      <c r="R15" s="100">
        <v>12247101.599381888</v>
      </c>
      <c r="S15" s="100">
        <v>12173150.599381888</v>
      </c>
      <c r="T15" s="100">
        <v>21125737.59938189</v>
      </c>
      <c r="U15" s="100">
        <v>22410529.59938189</v>
      </c>
      <c r="V15" s="100">
        <v>23482467.59938189</v>
      </c>
      <c r="W15" s="100">
        <v>24487553.59938189</v>
      </c>
      <c r="X15" s="100">
        <v>25298304.59938189</v>
      </c>
      <c r="Y15" s="83"/>
      <c r="Z15" s="83"/>
    </row>
    <row r="16" spans="1:44">
      <c r="B16" s="112" t="s">
        <v>144</v>
      </c>
      <c r="C16" s="113" t="s">
        <v>148</v>
      </c>
      <c r="D16" s="100">
        <v>81567.040000000008</v>
      </c>
      <c r="E16" s="100">
        <v>89529.62</v>
      </c>
      <c r="F16" s="100">
        <v>100541.69</v>
      </c>
      <c r="G16" s="100">
        <v>112078.39</v>
      </c>
      <c r="H16" s="100">
        <v>124452.62000000001</v>
      </c>
      <c r="I16" s="100">
        <v>87878.2</v>
      </c>
      <c r="J16" s="100">
        <v>139332.38999999998</v>
      </c>
      <c r="K16" s="100">
        <v>190797.77</v>
      </c>
      <c r="L16" s="100">
        <v>239975.61000000002</v>
      </c>
      <c r="M16" s="100">
        <v>282043.41000000003</v>
      </c>
      <c r="N16" s="100">
        <v>335555.78</v>
      </c>
      <c r="O16" s="100">
        <v>393466.91000000003</v>
      </c>
      <c r="P16" s="100">
        <v>450748.6</v>
      </c>
      <c r="Q16" s="100">
        <v>508775.83999999968</v>
      </c>
      <c r="R16" s="100">
        <v>566309.77000000037</v>
      </c>
      <c r="S16" s="100">
        <v>654130.71000000008</v>
      </c>
      <c r="T16" s="100">
        <v>721331.71999999962</v>
      </c>
      <c r="U16" s="100">
        <v>786784.45999999961</v>
      </c>
      <c r="V16" s="100">
        <v>862008.16000000038</v>
      </c>
      <c r="W16" s="100">
        <v>937283.58000000019</v>
      </c>
      <c r="X16" s="100">
        <v>988200.39999999979</v>
      </c>
      <c r="Y16" s="83"/>
      <c r="Z16" s="83"/>
    </row>
    <row r="17" spans="2:26" ht="5.5" customHeight="1">
      <c r="B17" s="75"/>
      <c r="C17" s="76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8"/>
      <c r="Y17" s="78"/>
      <c r="Z17" s="78"/>
    </row>
    <row r="18" spans="2:26">
      <c r="B18" s="117" t="s">
        <v>3</v>
      </c>
      <c r="C18" s="118" t="s">
        <v>149</v>
      </c>
      <c r="D18" s="119">
        <v>616227506.30190003</v>
      </c>
      <c r="E18" s="119">
        <v>619456568.77190006</v>
      </c>
      <c r="F18" s="119">
        <v>623596571.13190007</v>
      </c>
      <c r="G18" s="119">
        <v>630588598.86938202</v>
      </c>
      <c r="H18" s="119">
        <v>634665673.03000021</v>
      </c>
      <c r="I18" s="119">
        <v>640141776.37938178</v>
      </c>
      <c r="J18" s="119">
        <v>639672576.27938199</v>
      </c>
      <c r="K18" s="119">
        <v>645782809.29938197</v>
      </c>
      <c r="L18" s="119">
        <v>651279484.04938197</v>
      </c>
      <c r="M18" s="119">
        <v>655467029.40938187</v>
      </c>
      <c r="N18" s="119">
        <v>658251882.91938198</v>
      </c>
      <c r="O18" s="119">
        <v>655331541.49938202</v>
      </c>
      <c r="P18" s="119">
        <v>651897969.10938191</v>
      </c>
      <c r="Q18" s="119">
        <v>657255498.139382</v>
      </c>
      <c r="R18" s="119">
        <v>672750244.72938192</v>
      </c>
      <c r="S18" s="119">
        <v>676268666.75938201</v>
      </c>
      <c r="T18" s="119">
        <v>688863791.07938206</v>
      </c>
      <c r="U18" s="119">
        <v>690461365.87938201</v>
      </c>
      <c r="V18" s="119">
        <v>698289204.15938187</v>
      </c>
      <c r="W18" s="119">
        <v>704857268.75938189</v>
      </c>
      <c r="X18" s="120">
        <v>710794677.67938185</v>
      </c>
      <c r="Y18" s="81"/>
      <c r="Z18" s="81"/>
    </row>
    <row r="19" spans="2:26" ht="5.5" customHeight="1">
      <c r="B19" s="75"/>
      <c r="C19" s="76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8"/>
      <c r="Y19" s="78"/>
      <c r="Z19" s="78"/>
    </row>
    <row r="20" spans="2:26">
      <c r="B20" s="75" t="s">
        <v>4</v>
      </c>
      <c r="C20" s="76" t="s">
        <v>150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100"/>
      <c r="X20" s="100"/>
      <c r="Y20" s="78"/>
      <c r="Z20" s="78"/>
    </row>
    <row r="21" spans="2:26">
      <c r="B21" s="112" t="s">
        <v>5</v>
      </c>
      <c r="C21" s="113" t="s">
        <v>157</v>
      </c>
      <c r="D21" s="100">
        <v>105190530.71000001</v>
      </c>
      <c r="E21" s="100">
        <v>95007424.019999996</v>
      </c>
      <c r="F21" s="100">
        <v>84119885.159999982</v>
      </c>
      <c r="G21" s="100">
        <v>88203931.050000012</v>
      </c>
      <c r="H21" s="100">
        <v>95467195.479999989</v>
      </c>
      <c r="I21" s="100">
        <v>107286880.52</v>
      </c>
      <c r="J21" s="100">
        <v>121420877.79000001</v>
      </c>
      <c r="K21" s="100">
        <v>122561739.59999999</v>
      </c>
      <c r="L21" s="100">
        <v>118363349.45999999</v>
      </c>
      <c r="M21" s="100">
        <v>118197816.42</v>
      </c>
      <c r="N21" s="100">
        <v>113119898.02000001</v>
      </c>
      <c r="O21" s="100">
        <v>119605351.25000001</v>
      </c>
      <c r="P21" s="100">
        <v>122408982.36000001</v>
      </c>
      <c r="Q21" s="100">
        <v>111001664.84999999</v>
      </c>
      <c r="R21" s="100">
        <v>115695813.89999999</v>
      </c>
      <c r="S21" s="100">
        <v>120554160.85000001</v>
      </c>
      <c r="T21" s="100">
        <v>115420731.81000003</v>
      </c>
      <c r="U21" s="100">
        <v>125131176.16000001</v>
      </c>
      <c r="V21" s="100">
        <v>113317854.24000001</v>
      </c>
      <c r="W21" s="100">
        <v>111195722.58999999</v>
      </c>
      <c r="X21" s="100">
        <v>98661759.189999998</v>
      </c>
      <c r="Y21" s="81"/>
      <c r="Z21" s="81"/>
    </row>
    <row r="22" spans="2:26">
      <c r="B22" s="112" t="s">
        <v>151</v>
      </c>
      <c r="C22" s="113" t="s">
        <v>158</v>
      </c>
      <c r="D22" s="100">
        <v>9.3000126071274281E-4</v>
      </c>
      <c r="E22" s="100">
        <v>8.4200361743569374E-4</v>
      </c>
      <c r="F22" s="100">
        <v>-1.0000000474974513E-2</v>
      </c>
      <c r="G22" s="100">
        <v>-2.3376196620766843E-9</v>
      </c>
      <c r="H22" s="100">
        <v>-9.313225537987968E-12</v>
      </c>
      <c r="I22" s="100">
        <v>-3.7439973186701534E-3</v>
      </c>
      <c r="J22" s="100">
        <v>-3.7439968530088661E-3</v>
      </c>
      <c r="K22" s="100">
        <v>-3.743998249992728E-3</v>
      </c>
      <c r="L22" s="100">
        <v>-3.7439931277185676E-3</v>
      </c>
      <c r="M22" s="100">
        <v>-3.7439954560250042E-3</v>
      </c>
      <c r="N22" s="100">
        <v>-3.7439954560250042E-3</v>
      </c>
      <c r="O22" s="100">
        <v>-2.421438691918576E-10</v>
      </c>
      <c r="P22" s="100">
        <v>-1.6391277311150754E-9</v>
      </c>
      <c r="Q22" s="100">
        <v>-3.7440008111298082E-3</v>
      </c>
      <c r="R22" s="100">
        <v>-3.7439949903637169E-3</v>
      </c>
      <c r="S22" s="100">
        <v>-9.9999941885471344E-3</v>
      </c>
      <c r="T22" s="100">
        <v>-1.0000001639127731E-2</v>
      </c>
      <c r="U22" s="100">
        <v>23.842962004127912</v>
      </c>
      <c r="V22" s="100">
        <v>5.6752469390630722E-10</v>
      </c>
      <c r="W22" s="100">
        <v>-9.9999950616620481E-3</v>
      </c>
      <c r="X22" s="100">
        <v>-1.0000000707805157E-2</v>
      </c>
      <c r="Y22" s="81"/>
      <c r="Z22" s="81"/>
    </row>
    <row r="23" spans="2:26">
      <c r="B23" s="112" t="s">
        <v>152</v>
      </c>
      <c r="C23" s="113" t="s">
        <v>159</v>
      </c>
      <c r="D23" s="100">
        <v>37984862.249999985</v>
      </c>
      <c r="E23" s="100">
        <v>37769893.389999971</v>
      </c>
      <c r="F23" s="100">
        <v>45034786.789999992</v>
      </c>
      <c r="G23" s="100">
        <v>40675680.999999978</v>
      </c>
      <c r="H23" s="100">
        <v>31650214.879999977</v>
      </c>
      <c r="I23" s="100">
        <v>34687048.789999992</v>
      </c>
      <c r="J23" s="100">
        <v>21920715.100000001</v>
      </c>
      <c r="K23" s="100">
        <v>24185412.25</v>
      </c>
      <c r="L23" s="100">
        <v>22039539.149999999</v>
      </c>
      <c r="M23" s="100">
        <v>42762780.549999982</v>
      </c>
      <c r="N23" s="100">
        <v>46291969.509999983</v>
      </c>
      <c r="O23" s="100">
        <v>40381039.289999992</v>
      </c>
      <c r="P23" s="100">
        <v>32711266.699999969</v>
      </c>
      <c r="Q23" s="100">
        <v>31403139.649999984</v>
      </c>
      <c r="R23" s="100">
        <v>36270296.18999999</v>
      </c>
      <c r="S23" s="100">
        <v>22036535.829999994</v>
      </c>
      <c r="T23" s="100">
        <v>25028132.54999999</v>
      </c>
      <c r="U23" s="100">
        <v>39107666.879999988</v>
      </c>
      <c r="V23" s="100">
        <v>40719807.829999976</v>
      </c>
      <c r="W23" s="100">
        <v>31258175.009999972</v>
      </c>
      <c r="X23" s="100">
        <v>35660140.079999968</v>
      </c>
      <c r="Y23" s="81"/>
      <c r="Z23" s="81"/>
    </row>
    <row r="24" spans="2:26">
      <c r="B24" s="112" t="s">
        <v>153</v>
      </c>
      <c r="C24" s="113" t="s">
        <v>160</v>
      </c>
      <c r="D24" s="100">
        <v>0</v>
      </c>
      <c r="E24" s="100">
        <v>0</v>
      </c>
      <c r="F24" s="100">
        <v>0</v>
      </c>
      <c r="G24" s="100">
        <v>0</v>
      </c>
      <c r="H24" s="100">
        <v>44583</v>
      </c>
      <c r="I24" s="100">
        <v>26312</v>
      </c>
      <c r="J24" s="100">
        <v>0</v>
      </c>
      <c r="K24" s="100">
        <v>32987</v>
      </c>
      <c r="L24" s="100">
        <v>51880</v>
      </c>
      <c r="M24" s="100">
        <v>72865</v>
      </c>
      <c r="N24" s="100">
        <v>69315</v>
      </c>
      <c r="O24" s="100">
        <v>25598</v>
      </c>
      <c r="P24" s="100">
        <v>0</v>
      </c>
      <c r="Q24" s="100">
        <v>3050</v>
      </c>
      <c r="R24" s="100">
        <v>0</v>
      </c>
      <c r="S24" s="100">
        <v>582355</v>
      </c>
      <c r="T24" s="100">
        <v>619173</v>
      </c>
      <c r="U24" s="100">
        <v>545877</v>
      </c>
      <c r="V24" s="100">
        <v>727198</v>
      </c>
      <c r="W24" s="100">
        <v>566713</v>
      </c>
      <c r="X24" s="100">
        <v>309884.57</v>
      </c>
      <c r="Y24" s="83"/>
      <c r="Z24" s="83"/>
    </row>
    <row r="25" spans="2:26">
      <c r="B25" s="112" t="s">
        <v>154</v>
      </c>
      <c r="C25" s="113" t="s">
        <v>161</v>
      </c>
      <c r="D25" s="100">
        <v>2612153.9900000002</v>
      </c>
      <c r="E25" s="100">
        <v>8282480.21</v>
      </c>
      <c r="F25" s="100">
        <v>1610567.9799999997</v>
      </c>
      <c r="G25" s="100">
        <v>1406420.78</v>
      </c>
      <c r="H25" s="100">
        <v>2738893.2399999998</v>
      </c>
      <c r="I25" s="100">
        <v>6962935.790000001</v>
      </c>
      <c r="J25" s="100">
        <v>623078.41</v>
      </c>
      <c r="K25" s="100">
        <v>3887919.7699999996</v>
      </c>
      <c r="L25" s="100">
        <v>2508602.4500000002</v>
      </c>
      <c r="M25" s="100">
        <v>3883305.8</v>
      </c>
      <c r="N25" s="100">
        <v>2817557.44</v>
      </c>
      <c r="O25" s="100">
        <v>1094713.9200000002</v>
      </c>
      <c r="P25" s="100">
        <v>4705498.17</v>
      </c>
      <c r="Q25" s="100">
        <v>9338606.5000000019</v>
      </c>
      <c r="R25" s="100">
        <v>17215317.400000006</v>
      </c>
      <c r="S25" s="100">
        <v>7711760.79</v>
      </c>
      <c r="T25" s="100">
        <v>9031453.9199999999</v>
      </c>
      <c r="U25" s="100">
        <v>8856570.7599999998</v>
      </c>
      <c r="V25" s="100">
        <v>11387402.330000002</v>
      </c>
      <c r="W25" s="100">
        <v>4653113.9700000007</v>
      </c>
      <c r="X25" s="100">
        <v>9534304.2199999988</v>
      </c>
      <c r="Y25" s="83"/>
      <c r="Z25" s="83"/>
    </row>
    <row r="26" spans="2:26">
      <c r="B26" s="112" t="s">
        <v>155</v>
      </c>
      <c r="C26" s="113" t="s">
        <v>162</v>
      </c>
      <c r="D26" s="100">
        <v>6511087.2999999998</v>
      </c>
      <c r="E26" s="100">
        <v>4045397.1399999997</v>
      </c>
      <c r="F26" s="100">
        <v>6494275.6100000013</v>
      </c>
      <c r="G26" s="100">
        <v>2880528.0300000003</v>
      </c>
      <c r="H26" s="100">
        <v>4181681.19</v>
      </c>
      <c r="I26" s="100">
        <v>5033459.09</v>
      </c>
      <c r="J26" s="100">
        <v>6781382.6999999993</v>
      </c>
      <c r="K26" s="100">
        <v>2606255</v>
      </c>
      <c r="L26" s="100">
        <v>2751792.1700000004</v>
      </c>
      <c r="M26" s="100">
        <v>1840461.38</v>
      </c>
      <c r="N26" s="100">
        <v>2647193.5799999996</v>
      </c>
      <c r="O26" s="100">
        <v>2434550.5399999996</v>
      </c>
      <c r="P26" s="100">
        <v>2828917.9799999995</v>
      </c>
      <c r="Q26" s="100">
        <v>1324424.98</v>
      </c>
      <c r="R26" s="100">
        <v>1919091.19</v>
      </c>
      <c r="S26" s="100">
        <v>2615444.38</v>
      </c>
      <c r="T26" s="100">
        <v>3616785.2299999995</v>
      </c>
      <c r="U26" s="100">
        <v>1085639.8899999999</v>
      </c>
      <c r="V26" s="100">
        <v>1612041.6800000002</v>
      </c>
      <c r="W26" s="100">
        <v>2423182.41</v>
      </c>
      <c r="X26" s="100">
        <v>3650415.2399999998</v>
      </c>
      <c r="Y26" s="83"/>
      <c r="Z26" s="83"/>
    </row>
    <row r="27" spans="2:26">
      <c r="B27" s="112" t="s">
        <v>156</v>
      </c>
      <c r="C27" s="113" t="s">
        <v>163</v>
      </c>
      <c r="D27" s="152">
        <v>0</v>
      </c>
      <c r="E27" s="152">
        <v>0</v>
      </c>
      <c r="F27" s="152">
        <v>0</v>
      </c>
      <c r="G27" s="152">
        <v>0</v>
      </c>
      <c r="H27" s="152">
        <v>0</v>
      </c>
      <c r="I27" s="152">
        <v>0</v>
      </c>
      <c r="J27" s="152">
        <v>0</v>
      </c>
      <c r="K27" s="152">
        <v>0</v>
      </c>
      <c r="L27" s="152">
        <v>0</v>
      </c>
      <c r="M27" s="152">
        <v>0</v>
      </c>
      <c r="N27" s="152">
        <v>0</v>
      </c>
      <c r="O27" s="152">
        <v>0</v>
      </c>
      <c r="P27" s="152">
        <v>1357243</v>
      </c>
      <c r="Q27" s="152">
        <v>0</v>
      </c>
      <c r="R27" s="152">
        <v>0</v>
      </c>
      <c r="S27" s="152">
        <v>0</v>
      </c>
      <c r="T27" s="152">
        <v>0</v>
      </c>
      <c r="U27" s="152">
        <v>0</v>
      </c>
      <c r="V27" s="152">
        <v>0</v>
      </c>
      <c r="W27" s="152">
        <v>0</v>
      </c>
      <c r="X27" s="152">
        <v>0</v>
      </c>
      <c r="Y27" s="83"/>
      <c r="Z27" s="83"/>
    </row>
    <row r="28" spans="2:26" ht="5.5" customHeight="1">
      <c r="B28" s="91"/>
      <c r="C28" s="92"/>
      <c r="D28" s="176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78"/>
      <c r="Z28" s="78"/>
    </row>
    <row r="29" spans="2:26">
      <c r="B29" s="117" t="s">
        <v>6</v>
      </c>
      <c r="C29" s="118" t="s">
        <v>164</v>
      </c>
      <c r="D29" s="119">
        <v>152298634.25093001</v>
      </c>
      <c r="E29" s="119">
        <v>145105194.76084197</v>
      </c>
      <c r="F29" s="119">
        <v>137259515.52999997</v>
      </c>
      <c r="G29" s="119">
        <v>133166560.85999998</v>
      </c>
      <c r="H29" s="119">
        <v>134082567.78999996</v>
      </c>
      <c r="I29" s="119">
        <v>153996636.18625599</v>
      </c>
      <c r="J29" s="119">
        <v>150746053.99625599</v>
      </c>
      <c r="K29" s="119">
        <v>153274313.61625603</v>
      </c>
      <c r="L29" s="119">
        <v>145715163.22625598</v>
      </c>
      <c r="M29" s="119">
        <v>166757229.146256</v>
      </c>
      <c r="N29" s="119">
        <v>164945933.54625601</v>
      </c>
      <c r="O29" s="119">
        <v>163541253</v>
      </c>
      <c r="P29" s="119">
        <v>164011908.20999995</v>
      </c>
      <c r="Q29" s="119">
        <v>153070885.97625595</v>
      </c>
      <c r="R29" s="119">
        <v>171100518.676256</v>
      </c>
      <c r="S29" s="119">
        <v>153500256.84</v>
      </c>
      <c r="T29" s="119">
        <v>153716276.5</v>
      </c>
      <c r="U29" s="119">
        <v>174726954.53296196</v>
      </c>
      <c r="V29" s="119">
        <v>167764304.08000001</v>
      </c>
      <c r="W29" s="120">
        <v>150096906.96999997</v>
      </c>
      <c r="X29" s="120">
        <v>147816503.28999996</v>
      </c>
      <c r="Y29" s="81"/>
      <c r="Z29" s="81"/>
    </row>
    <row r="30" spans="2:26" ht="5.5" customHeight="1" thickBot="1">
      <c r="B30" s="93"/>
      <c r="C30" s="94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4"/>
      <c r="X30" s="104"/>
      <c r="Y30" s="78"/>
      <c r="Z30" s="78"/>
    </row>
    <row r="31" spans="2:26" ht="11" thickBot="1">
      <c r="B31" s="95" t="s">
        <v>7</v>
      </c>
      <c r="C31" s="96" t="s">
        <v>165</v>
      </c>
      <c r="D31" s="105">
        <v>768526140.55282998</v>
      </c>
      <c r="E31" s="105">
        <v>764561763.53274202</v>
      </c>
      <c r="F31" s="105">
        <v>760856086.66190004</v>
      </c>
      <c r="G31" s="105">
        <v>763755159.72938204</v>
      </c>
      <c r="H31" s="105">
        <v>768748240.82000017</v>
      </c>
      <c r="I31" s="105">
        <v>794138412.56563783</v>
      </c>
      <c r="J31" s="105">
        <v>790418630.27563798</v>
      </c>
      <c r="K31" s="105">
        <v>799057122.91563797</v>
      </c>
      <c r="L31" s="105">
        <v>796994647.27563798</v>
      </c>
      <c r="M31" s="105">
        <v>822224258.55563784</v>
      </c>
      <c r="N31" s="105">
        <v>823197816.46563792</v>
      </c>
      <c r="O31" s="105">
        <v>818872794.49938202</v>
      </c>
      <c r="P31" s="105">
        <v>815909877.31938183</v>
      </c>
      <c r="Q31" s="105">
        <v>810326384.11563802</v>
      </c>
      <c r="R31" s="105">
        <v>843850763.40563798</v>
      </c>
      <c r="S31" s="105">
        <v>829768923.59938204</v>
      </c>
      <c r="T31" s="105">
        <v>842580067.57938206</v>
      </c>
      <c r="U31" s="105">
        <v>865188320.41234398</v>
      </c>
      <c r="V31" s="105">
        <v>866053508.23938191</v>
      </c>
      <c r="W31" s="106">
        <v>854954175.7293818</v>
      </c>
      <c r="X31" s="106">
        <v>858611180.96938181</v>
      </c>
      <c r="Y31" s="78"/>
      <c r="Z31" s="78"/>
    </row>
    <row r="32" spans="2:26" ht="5.5" customHeight="1">
      <c r="B32" s="75"/>
      <c r="C32" s="76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8"/>
      <c r="X32" s="98"/>
      <c r="Y32" s="78"/>
      <c r="Z32" s="78"/>
    </row>
    <row r="33" spans="2:26">
      <c r="B33" s="75" t="s">
        <v>166</v>
      </c>
      <c r="C33" s="76" t="s">
        <v>170</v>
      </c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8"/>
      <c r="X33" s="98"/>
      <c r="Y33" s="78"/>
      <c r="Z33" s="78"/>
    </row>
    <row r="34" spans="2:26" ht="5.5" customHeight="1">
      <c r="B34" s="75"/>
      <c r="C34" s="76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8"/>
      <c r="X34" s="98"/>
      <c r="Y34" s="78"/>
      <c r="Z34" s="78"/>
    </row>
    <row r="35" spans="2:26">
      <c r="B35" s="75" t="s">
        <v>8</v>
      </c>
      <c r="C35" s="76" t="s">
        <v>169</v>
      </c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100"/>
      <c r="X35" s="100"/>
      <c r="Y35" s="78"/>
      <c r="Z35" s="78"/>
    </row>
    <row r="36" spans="2:26">
      <c r="B36" s="114" t="s">
        <v>171</v>
      </c>
      <c r="C36" s="115" t="s">
        <v>172</v>
      </c>
      <c r="D36" s="100">
        <v>1717284000</v>
      </c>
      <c r="E36" s="100">
        <v>1717284000</v>
      </c>
      <c r="F36" s="100">
        <v>1717284000</v>
      </c>
      <c r="G36" s="100">
        <v>1717284000</v>
      </c>
      <c r="H36" s="100">
        <v>1717284000</v>
      </c>
      <c r="I36" s="100">
        <v>1717284000</v>
      </c>
      <c r="J36" s="100">
        <v>1717284000</v>
      </c>
      <c r="K36" s="100">
        <v>1717284000</v>
      </c>
      <c r="L36" s="100">
        <v>1717284000</v>
      </c>
      <c r="M36" s="100">
        <v>1717284000</v>
      </c>
      <c r="N36" s="100">
        <v>1717284000</v>
      </c>
      <c r="O36" s="100">
        <v>1717284000</v>
      </c>
      <c r="P36" s="100">
        <v>1717284000</v>
      </c>
      <c r="Q36" s="100">
        <v>1717284000</v>
      </c>
      <c r="R36" s="100">
        <v>1717284000</v>
      </c>
      <c r="S36" s="100">
        <v>1717284000</v>
      </c>
      <c r="T36" s="100">
        <v>1717284000</v>
      </c>
      <c r="U36" s="100">
        <v>1717284000</v>
      </c>
      <c r="V36" s="100">
        <v>1717284000</v>
      </c>
      <c r="W36" s="100">
        <v>1717284000</v>
      </c>
      <c r="X36" s="100">
        <v>1717284000</v>
      </c>
      <c r="Y36" s="85"/>
      <c r="Z36" s="85"/>
    </row>
    <row r="37" spans="2:26">
      <c r="B37" s="114" t="s">
        <v>173</v>
      </c>
      <c r="C37" s="115" t="s">
        <v>174</v>
      </c>
      <c r="D37" s="100">
        <v>57130617.440000057</v>
      </c>
      <c r="E37" s="100">
        <v>57130617.440000057</v>
      </c>
      <c r="F37" s="100">
        <v>57130617.440000057</v>
      </c>
      <c r="G37" s="100">
        <v>57130617.440000057</v>
      </c>
      <c r="H37" s="100">
        <v>57130617.440000057</v>
      </c>
      <c r="I37" s="100">
        <v>57130617.440000057</v>
      </c>
      <c r="J37" s="100">
        <v>57130617.440000057</v>
      </c>
      <c r="K37" s="100">
        <v>57130617.440000057</v>
      </c>
      <c r="L37" s="100">
        <v>57130617.440000057</v>
      </c>
      <c r="M37" s="100">
        <v>57130617.440000057</v>
      </c>
      <c r="N37" s="100">
        <v>57130617.440000057</v>
      </c>
      <c r="O37" s="100">
        <v>57130617.440000057</v>
      </c>
      <c r="P37" s="100">
        <v>57130617.440000057</v>
      </c>
      <c r="Q37" s="100">
        <v>57130617.440000057</v>
      </c>
      <c r="R37" s="100">
        <v>57130617.440000057</v>
      </c>
      <c r="S37" s="100">
        <v>57130617.440000057</v>
      </c>
      <c r="T37" s="100">
        <v>57130617.440000057</v>
      </c>
      <c r="U37" s="100">
        <v>57130617.440000057</v>
      </c>
      <c r="V37" s="100">
        <v>57130617.440000057</v>
      </c>
      <c r="W37" s="100">
        <v>57130617.440000057</v>
      </c>
      <c r="X37" s="100">
        <v>57130617.440000057</v>
      </c>
      <c r="Y37" s="85"/>
      <c r="Z37" s="85"/>
    </row>
    <row r="38" spans="2:26">
      <c r="B38" s="114" t="s">
        <v>9</v>
      </c>
      <c r="C38" s="115" t="s">
        <v>175</v>
      </c>
      <c r="D38" s="100">
        <v>260775667.41999999</v>
      </c>
      <c r="E38" s="100">
        <v>260775667.41999999</v>
      </c>
      <c r="F38" s="100">
        <v>260775667.41999999</v>
      </c>
      <c r="G38" s="100">
        <v>260775667.41999999</v>
      </c>
      <c r="H38" s="100">
        <v>260775667.41999999</v>
      </c>
      <c r="I38" s="100">
        <v>260775667.41999999</v>
      </c>
      <c r="J38" s="100">
        <v>260775667.41999999</v>
      </c>
      <c r="K38" s="100">
        <v>260775667.41999999</v>
      </c>
      <c r="L38" s="100">
        <v>260775667.41999999</v>
      </c>
      <c r="M38" s="100">
        <v>260775667.41999999</v>
      </c>
      <c r="N38" s="100">
        <v>260775667.41999999</v>
      </c>
      <c r="O38" s="100">
        <v>260775667.41999999</v>
      </c>
      <c r="P38" s="100">
        <v>260775667.41999999</v>
      </c>
      <c r="Q38" s="100">
        <v>260775667.41999999</v>
      </c>
      <c r="R38" s="100">
        <v>260775667.41999999</v>
      </c>
      <c r="S38" s="100">
        <v>260775667.41999999</v>
      </c>
      <c r="T38" s="100">
        <v>260775667.41999999</v>
      </c>
      <c r="U38" s="100">
        <v>260775667.41999999</v>
      </c>
      <c r="V38" s="100">
        <v>260775667.41999999</v>
      </c>
      <c r="W38" s="100">
        <v>260775667.41999999</v>
      </c>
      <c r="X38" s="100">
        <v>260775667.41999999</v>
      </c>
      <c r="Y38" s="85"/>
      <c r="Z38" s="85"/>
    </row>
    <row r="39" spans="2:26">
      <c r="B39" s="114" t="s">
        <v>10</v>
      </c>
      <c r="C39" s="115" t="s">
        <v>176</v>
      </c>
      <c r="D39" s="100">
        <v>-266606761.65999994</v>
      </c>
      <c r="E39" s="100">
        <v>-266606761.65999994</v>
      </c>
      <c r="F39" s="100">
        <v>-266733617.63</v>
      </c>
      <c r="G39" s="100">
        <v>-266733617.63</v>
      </c>
      <c r="H39" s="100">
        <v>-266733617.63</v>
      </c>
      <c r="I39" s="100">
        <v>-266733617.63</v>
      </c>
      <c r="J39" s="100">
        <v>-266506983.92999995</v>
      </c>
      <c r="K39" s="100">
        <v>-266506983.92999995</v>
      </c>
      <c r="L39" s="100">
        <v>-266506983.92999995</v>
      </c>
      <c r="M39" s="100">
        <v>-266506983.92999995</v>
      </c>
      <c r="N39" s="100">
        <v>-266192778.59999996</v>
      </c>
      <c r="O39" s="100">
        <v>-266192778.59999996</v>
      </c>
      <c r="P39" s="100">
        <v>-266192778.59999996</v>
      </c>
      <c r="Q39" s="100">
        <v>-266192778.59999996</v>
      </c>
      <c r="R39" s="100">
        <v>-266366989.82999995</v>
      </c>
      <c r="S39" s="100">
        <v>-266366989.82999995</v>
      </c>
      <c r="T39" s="100">
        <v>-266366989.82999995</v>
      </c>
      <c r="U39" s="100">
        <v>-266366989.82999995</v>
      </c>
      <c r="V39" s="100">
        <v>-266561299.29999998</v>
      </c>
      <c r="W39" s="100">
        <v>-266561299.29999998</v>
      </c>
      <c r="X39" s="100">
        <v>-266561299.29999998</v>
      </c>
      <c r="Y39" s="85"/>
      <c r="Z39" s="85"/>
    </row>
    <row r="40" spans="2:26">
      <c r="B40" s="114" t="s">
        <v>177</v>
      </c>
      <c r="C40" s="115" t="s">
        <v>178</v>
      </c>
      <c r="D40" s="100">
        <v>-80843697.349999994</v>
      </c>
      <c r="E40" s="100">
        <v>-80843697.349999994</v>
      </c>
      <c r="F40" s="100">
        <v>-80843697.349999994</v>
      </c>
      <c r="G40" s="100">
        <v>-80843697.349999994</v>
      </c>
      <c r="H40" s="100">
        <v>-80843697.349999994</v>
      </c>
      <c r="I40" s="100">
        <v>-80843697.349999994</v>
      </c>
      <c r="J40" s="100">
        <v>-80843697.349999994</v>
      </c>
      <c r="K40" s="100">
        <v>-80843697.349999994</v>
      </c>
      <c r="L40" s="100">
        <v>-80843697.349999994</v>
      </c>
      <c r="M40" s="100">
        <v>-80843697.349999994</v>
      </c>
      <c r="N40" s="100">
        <v>-80843697.349999994</v>
      </c>
      <c r="O40" s="100">
        <v>-80843697.349999994</v>
      </c>
      <c r="P40" s="100">
        <v>-80843697.349999994</v>
      </c>
      <c r="Q40" s="100">
        <v>-80843697.349999994</v>
      </c>
      <c r="R40" s="100">
        <v>-80843697.349999994</v>
      </c>
      <c r="S40" s="100">
        <v>-80843697.349999994</v>
      </c>
      <c r="T40" s="100">
        <v>-80843697.349999994</v>
      </c>
      <c r="U40" s="100">
        <v>-80843697.349999994</v>
      </c>
      <c r="V40" s="100">
        <v>-80843697.349999994</v>
      </c>
      <c r="W40" s="100">
        <v>-80843697.349999994</v>
      </c>
      <c r="X40" s="100">
        <v>-80843697.349999994</v>
      </c>
      <c r="Y40" s="85"/>
      <c r="Z40" s="85"/>
    </row>
    <row r="41" spans="2:26">
      <c r="B41" s="114" t="s">
        <v>179</v>
      </c>
      <c r="C41" s="115" t="s">
        <v>180</v>
      </c>
      <c r="D41" s="100">
        <v>94684.759999996517</v>
      </c>
      <c r="E41" s="100">
        <v>21176.589999996591</v>
      </c>
      <c r="F41" s="100">
        <v>15841.938811991597</v>
      </c>
      <c r="G41" s="100">
        <v>153035.57374398946</v>
      </c>
      <c r="H41" s="100">
        <v>222055.77374400734</v>
      </c>
      <c r="I41" s="100">
        <v>118961.6699999905</v>
      </c>
      <c r="J41" s="100">
        <v>110112.1699999905</v>
      </c>
      <c r="K41" s="100">
        <v>75670.669999990496</v>
      </c>
      <c r="L41" s="100">
        <v>87807.669999990496</v>
      </c>
      <c r="M41" s="100">
        <v>44607.669999990496</v>
      </c>
      <c r="N41" s="100">
        <v>-193376.43000000354</v>
      </c>
      <c r="O41" s="100">
        <v>-48077.826256012544</v>
      </c>
      <c r="P41" s="100">
        <v>-203149.22625599266</v>
      </c>
      <c r="Q41" s="100">
        <v>-213468.02999999758</v>
      </c>
      <c r="R41" s="100">
        <v>-308755.63000000361</v>
      </c>
      <c r="S41" s="100">
        <v>-214338.38674998563</v>
      </c>
      <c r="T41" s="100">
        <v>-200264.61848099763</v>
      </c>
      <c r="U41" s="100">
        <v>-164814.33999999217</v>
      </c>
      <c r="V41" s="100">
        <v>-200281.73320699763</v>
      </c>
      <c r="W41" s="100">
        <v>-147572.79782000976</v>
      </c>
      <c r="X41" s="100">
        <v>-201872.69988498581</v>
      </c>
      <c r="Y41" s="85"/>
      <c r="Z41" s="85"/>
    </row>
    <row r="42" spans="2:26">
      <c r="B42" s="112" t="s">
        <v>11</v>
      </c>
      <c r="C42" s="113" t="s">
        <v>181</v>
      </c>
      <c r="D42" s="108">
        <v>-1099060735.4326262</v>
      </c>
      <c r="E42" s="108">
        <v>-1093791047.4127145</v>
      </c>
      <c r="F42" s="108">
        <v>-1095552827.3923686</v>
      </c>
      <c r="G42" s="108">
        <v>-1099751117.2022433</v>
      </c>
      <c r="H42" s="108">
        <v>-1102992595.3763185</v>
      </c>
      <c r="I42" s="108">
        <v>-1097184399.6919179</v>
      </c>
      <c r="J42" s="108">
        <v>-1092730378.3383</v>
      </c>
      <c r="K42" s="108">
        <v>-1089358022.370158</v>
      </c>
      <c r="L42" s="108">
        <v>-1086564754.0718513</v>
      </c>
      <c r="M42" s="108">
        <v>-1081526237.955538</v>
      </c>
      <c r="N42" s="108">
        <v>-1085004243.9912782</v>
      </c>
      <c r="O42" s="108">
        <v>-1080591402.2560172</v>
      </c>
      <c r="P42" s="108">
        <v>-1082014397.8130181</v>
      </c>
      <c r="Q42" s="108">
        <v>-1081880121.2680981</v>
      </c>
      <c r="R42" s="108">
        <v>-1077962824.0749362</v>
      </c>
      <c r="S42" s="108">
        <v>-1076048167.752152</v>
      </c>
      <c r="T42" s="108">
        <v>-1068208771.3839749</v>
      </c>
      <c r="U42" s="108">
        <v>-1065076126.6187882</v>
      </c>
      <c r="V42" s="108">
        <v>-1064746046.3280143</v>
      </c>
      <c r="W42" s="108">
        <v>-1069358208.3180881</v>
      </c>
      <c r="X42" s="108">
        <v>-1073023896.2781359</v>
      </c>
      <c r="Y42" s="82"/>
      <c r="Z42" s="82"/>
    </row>
    <row r="43" spans="2:26" ht="5.5" customHeight="1">
      <c r="B43" s="91"/>
      <c r="C43" s="92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2"/>
      <c r="X43" s="102"/>
      <c r="Y43" s="78"/>
      <c r="Z43" s="78"/>
    </row>
    <row r="44" spans="2:26">
      <c r="B44" s="117" t="s">
        <v>183</v>
      </c>
      <c r="C44" s="118" t="s">
        <v>182</v>
      </c>
      <c r="D44" s="119">
        <v>588773775.17737412</v>
      </c>
      <c r="E44" s="119">
        <v>593969955.02728581</v>
      </c>
      <c r="F44" s="119">
        <v>592075984.42644358</v>
      </c>
      <c r="G44" s="119">
        <v>588014888.25150084</v>
      </c>
      <c r="H44" s="119">
        <v>584842430.27742577</v>
      </c>
      <c r="I44" s="119">
        <v>590547531.85808229</v>
      </c>
      <c r="J44" s="119">
        <v>595219337.41170049</v>
      </c>
      <c r="K44" s="119">
        <v>598557251.87984252</v>
      </c>
      <c r="L44" s="119">
        <v>601362657.17814922</v>
      </c>
      <c r="M44" s="119">
        <v>606357973.29446244</v>
      </c>
      <c r="N44" s="119">
        <v>602956188.48872209</v>
      </c>
      <c r="O44" s="119">
        <v>607514328.82772708</v>
      </c>
      <c r="P44" s="119">
        <v>605936261.87072635</v>
      </c>
      <c r="Q44" s="119">
        <v>606060219.61190224</v>
      </c>
      <c r="R44" s="119">
        <v>609708017.97506404</v>
      </c>
      <c r="S44" s="119">
        <v>611717091.54109836</v>
      </c>
      <c r="T44" s="119">
        <v>619570561.67754447</v>
      </c>
      <c r="U44" s="119">
        <v>622738656.72121215</v>
      </c>
      <c r="V44" s="119">
        <v>622838960.14877903</v>
      </c>
      <c r="W44" s="119">
        <v>618279507.09409213</v>
      </c>
      <c r="X44" s="119">
        <v>614559519.23197949</v>
      </c>
      <c r="Y44" s="81"/>
      <c r="Z44" s="81"/>
    </row>
    <row r="45" spans="2:26" ht="5.5" customHeight="1">
      <c r="B45" s="93"/>
      <c r="C45" s="94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4"/>
      <c r="X45" s="104"/>
      <c r="Y45" s="78"/>
      <c r="Z45" s="78"/>
    </row>
    <row r="46" spans="2:26">
      <c r="B46" s="75" t="s">
        <v>12</v>
      </c>
      <c r="C46" s="76" t="s">
        <v>184</v>
      </c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10"/>
      <c r="X46" s="110"/>
      <c r="Y46" s="78"/>
      <c r="Z46" s="78"/>
    </row>
    <row r="47" spans="2:26">
      <c r="B47" s="112" t="s">
        <v>185</v>
      </c>
      <c r="C47" s="113" t="s">
        <v>186</v>
      </c>
      <c r="D47" s="100">
        <v>6590909.0499999998</v>
      </c>
      <c r="E47" s="100">
        <v>7272727.2400000002</v>
      </c>
      <c r="F47" s="100">
        <v>6363636.3799999999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322753.18025100359</v>
      </c>
      <c r="M47" s="100">
        <v>1702127.87</v>
      </c>
      <c r="N47" s="100">
        <v>2968136.7396780043</v>
      </c>
      <c r="O47" s="100">
        <v>4197819.4944170043</v>
      </c>
      <c r="P47" s="100">
        <v>5526805.661418003</v>
      </c>
      <c r="Q47" s="100">
        <v>6809864.9464980038</v>
      </c>
      <c r="R47" s="100">
        <v>8084925.1233360041</v>
      </c>
      <c r="S47" s="100">
        <v>9360632.3110460043</v>
      </c>
      <c r="T47" s="100">
        <v>10638410.294600004</v>
      </c>
      <c r="U47" s="100">
        <v>16052539.687156005</v>
      </c>
      <c r="V47" s="100">
        <v>21408740.556177001</v>
      </c>
      <c r="W47" s="100">
        <v>27280612.850864004</v>
      </c>
      <c r="X47" s="100">
        <v>27856024.792977005</v>
      </c>
      <c r="Y47" s="81"/>
      <c r="Z47" s="81"/>
    </row>
    <row r="48" spans="2:26">
      <c r="B48" s="112" t="s">
        <v>328</v>
      </c>
      <c r="C48" s="113" t="s">
        <v>325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0">
        <v>0</v>
      </c>
      <c r="R48" s="100">
        <v>0</v>
      </c>
      <c r="S48" s="100">
        <v>0</v>
      </c>
      <c r="T48" s="100">
        <v>0</v>
      </c>
      <c r="U48" s="100">
        <v>0</v>
      </c>
      <c r="V48" s="100">
        <v>11410500</v>
      </c>
      <c r="W48" s="100">
        <v>11410500</v>
      </c>
      <c r="X48" s="100">
        <v>0</v>
      </c>
      <c r="Y48" s="81"/>
      <c r="Z48" s="81"/>
    </row>
    <row r="49" spans="2:26">
      <c r="B49" s="112" t="s">
        <v>326</v>
      </c>
      <c r="C49" s="113" t="s">
        <v>327</v>
      </c>
      <c r="D49" s="100">
        <v>14893628.18</v>
      </c>
      <c r="E49" s="100">
        <v>13644278.27</v>
      </c>
      <c r="F49" s="100">
        <v>13524990.99</v>
      </c>
      <c r="G49" s="100">
        <v>13876309.02</v>
      </c>
      <c r="H49" s="100">
        <v>12854027.279999999</v>
      </c>
      <c r="I49" s="100">
        <v>13698123.359999999</v>
      </c>
      <c r="J49" s="100">
        <v>8728150.6199999992</v>
      </c>
      <c r="K49" s="100">
        <v>9456352.9600000009</v>
      </c>
      <c r="L49" s="100">
        <v>10520395.359999999</v>
      </c>
      <c r="M49" s="100">
        <v>10975045.050000001</v>
      </c>
      <c r="N49" s="100">
        <v>11878843.959999999</v>
      </c>
      <c r="O49" s="100">
        <v>10804022.67</v>
      </c>
      <c r="P49" s="100">
        <v>11755653.889999999</v>
      </c>
      <c r="Q49" s="100">
        <v>11844867.1</v>
      </c>
      <c r="R49" s="100">
        <v>12353962.709999999</v>
      </c>
      <c r="S49" s="100">
        <v>12619056.899999999</v>
      </c>
      <c r="T49" s="100">
        <v>12884649.1</v>
      </c>
      <c r="U49" s="100">
        <v>13404573.569550002</v>
      </c>
      <c r="V49" s="100">
        <v>13536456.700000001</v>
      </c>
      <c r="W49" s="100">
        <v>13683834.710000001</v>
      </c>
      <c r="X49" s="100">
        <v>6840009.3700000001</v>
      </c>
      <c r="Y49" s="81"/>
      <c r="Z49" s="81"/>
    </row>
    <row r="50" spans="2:26">
      <c r="B50" s="112" t="s">
        <v>187</v>
      </c>
      <c r="C50" s="113" t="s">
        <v>188</v>
      </c>
      <c r="D50" s="100">
        <v>1234397.58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81"/>
      <c r="Z50" s="81"/>
    </row>
    <row r="51" spans="2:26">
      <c r="B51" s="112" t="s">
        <v>344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81"/>
      <c r="Z51" s="81"/>
    </row>
    <row r="52" spans="2:26">
      <c r="B52" s="172" t="s">
        <v>189</v>
      </c>
      <c r="C52" s="113" t="s">
        <v>190</v>
      </c>
      <c r="D52" s="100">
        <v>2660746.64</v>
      </c>
      <c r="E52" s="100">
        <v>2660746.64</v>
      </c>
      <c r="F52" s="100">
        <v>2533793.6999999997</v>
      </c>
      <c r="G52" s="100">
        <v>2533793.6999999997</v>
      </c>
      <c r="H52" s="100">
        <v>2533793.6999999997</v>
      </c>
      <c r="I52" s="100">
        <v>2533793.6999999997</v>
      </c>
      <c r="J52" s="100">
        <v>2027264</v>
      </c>
      <c r="K52" s="100">
        <v>2027264</v>
      </c>
      <c r="L52" s="100">
        <v>2027264</v>
      </c>
      <c r="M52" s="100">
        <v>2027264</v>
      </c>
      <c r="N52" s="100">
        <v>1469927.97</v>
      </c>
      <c r="O52" s="100">
        <v>1469927.97</v>
      </c>
      <c r="P52" s="100">
        <v>1469927.97</v>
      </c>
      <c r="Q52" s="100">
        <v>1469927.97</v>
      </c>
      <c r="R52" s="100">
        <v>1485581.8900000001</v>
      </c>
      <c r="S52" s="100">
        <v>1485581.8900000001</v>
      </c>
      <c r="T52" s="100">
        <v>1485581.8900000001</v>
      </c>
      <c r="U52" s="100">
        <v>1485581.8900000001</v>
      </c>
      <c r="V52" s="100">
        <v>1761744.58</v>
      </c>
      <c r="W52" s="100">
        <v>1761744.58</v>
      </c>
      <c r="X52" s="100">
        <v>1761744.58</v>
      </c>
      <c r="Y52" s="89"/>
      <c r="Z52" s="89"/>
    </row>
    <row r="53" spans="2:26">
      <c r="B53" s="172" t="s">
        <v>191</v>
      </c>
      <c r="C53" s="113" t="s">
        <v>192</v>
      </c>
      <c r="D53" s="100">
        <v>30273259.629999999</v>
      </c>
      <c r="E53" s="100">
        <v>30942770.310000002</v>
      </c>
      <c r="F53" s="100">
        <v>31674461.919999994</v>
      </c>
      <c r="G53" s="100">
        <v>32406990.859999999</v>
      </c>
      <c r="H53" s="100">
        <v>33139519.769999996</v>
      </c>
      <c r="I53" s="100">
        <v>33876718.400000006</v>
      </c>
      <c r="J53" s="100">
        <v>34609247.240000002</v>
      </c>
      <c r="K53" s="100">
        <v>35341881.710000001</v>
      </c>
      <c r="L53" s="100">
        <v>29080708.960000001</v>
      </c>
      <c r="M53" s="100">
        <v>29813475.060000002</v>
      </c>
      <c r="N53" s="100">
        <v>30546241.18</v>
      </c>
      <c r="O53" s="100">
        <v>31279007.210000001</v>
      </c>
      <c r="P53" s="100">
        <v>32012081.329999998</v>
      </c>
      <c r="Q53" s="100">
        <v>32745359.689999998</v>
      </c>
      <c r="R53" s="100">
        <v>33478692.32</v>
      </c>
      <c r="S53" s="100">
        <v>34212052.030000001</v>
      </c>
      <c r="T53" s="100">
        <v>34945504.25</v>
      </c>
      <c r="U53" s="100">
        <v>36256839.509999998</v>
      </c>
      <c r="V53" s="100">
        <v>36990338.119999997</v>
      </c>
      <c r="W53" s="100">
        <v>37723836.670000002</v>
      </c>
      <c r="X53" s="100">
        <v>38457335.170000002</v>
      </c>
      <c r="Y53" s="89"/>
      <c r="Z53" s="89"/>
    </row>
    <row r="54" spans="2:26">
      <c r="B54" s="172" t="s">
        <v>193</v>
      </c>
      <c r="C54" s="113" t="s">
        <v>194</v>
      </c>
      <c r="D54" s="100">
        <v>11634689.4</v>
      </c>
      <c r="E54" s="100">
        <v>11786971.4</v>
      </c>
      <c r="F54" s="100">
        <v>10743077.4</v>
      </c>
      <c r="G54" s="100">
        <v>8998633.4000000004</v>
      </c>
      <c r="H54" s="100">
        <v>7308301.4006181117</v>
      </c>
      <c r="I54" s="100">
        <v>7839462.4000000004</v>
      </c>
      <c r="J54" s="100">
        <v>3345954.4</v>
      </c>
      <c r="K54" s="100">
        <v>3669947.4</v>
      </c>
      <c r="L54" s="100">
        <v>3791563.4</v>
      </c>
      <c r="M54" s="100">
        <v>4363507.4000000004</v>
      </c>
      <c r="N54" s="100">
        <v>0</v>
      </c>
      <c r="O54" s="100">
        <v>0</v>
      </c>
      <c r="P54" s="100">
        <v>0</v>
      </c>
      <c r="Q54" s="100">
        <v>0</v>
      </c>
      <c r="R54" s="100">
        <v>0</v>
      </c>
      <c r="S54" s="100">
        <v>0</v>
      </c>
      <c r="T54" s="100">
        <v>0</v>
      </c>
      <c r="U54" s="100">
        <v>0</v>
      </c>
      <c r="V54" s="100">
        <v>0</v>
      </c>
      <c r="W54" s="100">
        <v>0</v>
      </c>
      <c r="X54" s="100">
        <v>0</v>
      </c>
      <c r="Y54" s="89"/>
      <c r="Z54" s="89"/>
    </row>
    <row r="55" spans="2:26">
      <c r="B55" s="172" t="s">
        <v>195</v>
      </c>
      <c r="C55" s="113" t="s">
        <v>196</v>
      </c>
      <c r="D55" s="100">
        <v>0</v>
      </c>
      <c r="E55" s="100">
        <v>1371552.87</v>
      </c>
      <c r="F55" s="100">
        <v>1481277.09</v>
      </c>
      <c r="G55" s="100">
        <v>1571051.45</v>
      </c>
      <c r="H55" s="100">
        <v>2431382.81</v>
      </c>
      <c r="I55" s="100">
        <v>2524898.23</v>
      </c>
      <c r="J55" s="100">
        <v>2605054.2999999998</v>
      </c>
      <c r="K55" s="100">
        <v>2674522.9</v>
      </c>
      <c r="L55" s="100">
        <v>1255017.81</v>
      </c>
      <c r="M55" s="100">
        <v>1394464.22</v>
      </c>
      <c r="N55" s="100">
        <v>10342233.59</v>
      </c>
      <c r="O55" s="100">
        <v>10342233.59</v>
      </c>
      <c r="P55" s="100">
        <v>10342233.59</v>
      </c>
      <c r="Q55" s="100">
        <v>10342233.59</v>
      </c>
      <c r="R55" s="100">
        <v>10342233.59</v>
      </c>
      <c r="S55" s="100">
        <v>10342233.59</v>
      </c>
      <c r="T55" s="100">
        <v>10342233.59</v>
      </c>
      <c r="U55" s="100">
        <v>10342233.59</v>
      </c>
      <c r="V55" s="100">
        <v>10342233.59</v>
      </c>
      <c r="W55" s="100">
        <v>10342233.59</v>
      </c>
      <c r="X55" s="100">
        <v>10342233.59</v>
      </c>
      <c r="Y55" s="81"/>
      <c r="Z55" s="81"/>
    </row>
    <row r="56" spans="2:26" ht="5.5" customHeight="1">
      <c r="B56" s="91"/>
      <c r="C56" s="92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2"/>
      <c r="X56" s="102"/>
      <c r="Y56" s="78"/>
      <c r="Z56" s="78"/>
    </row>
    <row r="57" spans="2:26">
      <c r="B57" s="117" t="s">
        <v>14</v>
      </c>
      <c r="C57" s="118" t="s">
        <v>197</v>
      </c>
      <c r="D57" s="119">
        <v>67287630.480000004</v>
      </c>
      <c r="E57" s="119">
        <v>67679046.730000004</v>
      </c>
      <c r="F57" s="119">
        <v>66321237.479999997</v>
      </c>
      <c r="G57" s="119">
        <v>59386778.43</v>
      </c>
      <c r="H57" s="119">
        <v>58267024.960618109</v>
      </c>
      <c r="I57" s="119">
        <v>60472996.090000004</v>
      </c>
      <c r="J57" s="119">
        <v>51315670.559999995</v>
      </c>
      <c r="K57" s="119">
        <v>53169968.969999999</v>
      </c>
      <c r="L57" s="119">
        <v>46997702.710251004</v>
      </c>
      <c r="M57" s="119">
        <v>50275883.600000001</v>
      </c>
      <c r="N57" s="119">
        <v>57205383.439677998</v>
      </c>
      <c r="O57" s="119">
        <v>58093010.934417009</v>
      </c>
      <c r="P57" s="119">
        <v>61106702.441418007</v>
      </c>
      <c r="Q57" s="119">
        <v>63212253.296498001</v>
      </c>
      <c r="R57" s="119">
        <v>65745395.633336008</v>
      </c>
      <c r="S57" s="119">
        <v>68019556.721046001</v>
      </c>
      <c r="T57" s="119">
        <v>70296379.124600008</v>
      </c>
      <c r="U57" s="119">
        <v>77541768.246706009</v>
      </c>
      <c r="V57" s="119">
        <v>95450013.546177</v>
      </c>
      <c r="W57" s="119">
        <v>102202762.40086401</v>
      </c>
      <c r="X57" s="119">
        <v>85257347.502977014</v>
      </c>
      <c r="Y57" s="81"/>
      <c r="Z57" s="81"/>
    </row>
    <row r="58" spans="2:26" ht="5.5" customHeight="1">
      <c r="B58" s="93"/>
      <c r="C58" s="94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4"/>
      <c r="X58" s="104"/>
      <c r="Y58" s="78"/>
      <c r="Z58" s="78"/>
    </row>
    <row r="59" spans="2:26">
      <c r="B59" s="75" t="s">
        <v>15</v>
      </c>
      <c r="C59" s="76" t="s">
        <v>198</v>
      </c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8"/>
      <c r="X59" s="108"/>
      <c r="Y59" s="78"/>
      <c r="Z59" s="78"/>
    </row>
    <row r="60" spans="2:26">
      <c r="B60" s="112" t="s">
        <v>199</v>
      </c>
      <c r="C60" s="113" t="s">
        <v>200</v>
      </c>
      <c r="D60" s="100">
        <v>29674052.079999998</v>
      </c>
      <c r="E60" s="100">
        <v>29331426.43</v>
      </c>
      <c r="F60" s="100">
        <v>17679990.620000001</v>
      </c>
      <c r="G60" s="100">
        <v>26309734.399999999</v>
      </c>
      <c r="H60" s="100">
        <v>28953967.280000001</v>
      </c>
      <c r="I60" s="100">
        <v>30546316.240000002</v>
      </c>
      <c r="J60" s="100">
        <v>31882074.490000002</v>
      </c>
      <c r="K60" s="100">
        <v>33370884.039999999</v>
      </c>
      <c r="L60" s="100">
        <v>35204465.989999995</v>
      </c>
      <c r="M60" s="100">
        <v>38167742.880000003</v>
      </c>
      <c r="N60" s="100">
        <v>39599297.170000002</v>
      </c>
      <c r="O60" s="100">
        <v>38968941.549999997</v>
      </c>
      <c r="P60" s="100">
        <v>34339626</v>
      </c>
      <c r="Q60" s="100">
        <v>29164467.629999999</v>
      </c>
      <c r="R60" s="100">
        <v>27731008.939999998</v>
      </c>
      <c r="S60" s="100">
        <v>19545862.739999998</v>
      </c>
      <c r="T60" s="100">
        <v>19649221.75</v>
      </c>
      <c r="U60" s="100">
        <v>13811951.939999999</v>
      </c>
      <c r="V60" s="100">
        <v>14247777.24</v>
      </c>
      <c r="W60" s="100">
        <v>14257169.16</v>
      </c>
      <c r="X60" s="100">
        <v>0</v>
      </c>
      <c r="Y60" s="81"/>
      <c r="Z60" s="81"/>
    </row>
    <row r="61" spans="2:26">
      <c r="B61" s="112" t="s">
        <v>201</v>
      </c>
      <c r="C61" s="116" t="s">
        <v>186</v>
      </c>
      <c r="D61" s="100">
        <v>7587449.3800000008</v>
      </c>
      <c r="E61" s="100">
        <v>6914692.4599999972</v>
      </c>
      <c r="F61" s="100">
        <v>5764986.8599999975</v>
      </c>
      <c r="G61" s="100">
        <v>5508630.6806429988</v>
      </c>
      <c r="H61" s="100">
        <v>7973565.6647180002</v>
      </c>
      <c r="I61" s="100">
        <v>12323383.250317998</v>
      </c>
      <c r="J61" s="100">
        <v>11438200.366699997</v>
      </c>
      <c r="K61" s="100">
        <v>13799199.508557998</v>
      </c>
      <c r="L61" s="100">
        <v>15819275.729999999</v>
      </c>
      <c r="M61" s="100">
        <v>17848146.843938001</v>
      </c>
      <c r="N61" s="100">
        <v>20650992.259999998</v>
      </c>
      <c r="O61" s="100">
        <v>22774164.48</v>
      </c>
      <c r="P61" s="100">
        <v>23844437.75</v>
      </c>
      <c r="Q61" s="100">
        <v>28573075.210000001</v>
      </c>
      <c r="R61" s="100">
        <v>38771676.020000003</v>
      </c>
      <c r="S61" s="100">
        <v>49113232.200000003</v>
      </c>
      <c r="T61" s="100">
        <v>52358224.460000001</v>
      </c>
      <c r="U61" s="100">
        <v>66805074.329999998</v>
      </c>
      <c r="V61" s="100">
        <v>58199050.829999991</v>
      </c>
      <c r="W61" s="100">
        <v>45249285.280000001</v>
      </c>
      <c r="X61" s="100">
        <v>69652851.170000002</v>
      </c>
      <c r="Y61" s="88"/>
      <c r="Z61" s="88"/>
    </row>
    <row r="62" spans="2:26" ht="11.15" customHeight="1">
      <c r="B62" s="112" t="s">
        <v>202</v>
      </c>
      <c r="C62" s="113" t="s">
        <v>203</v>
      </c>
      <c r="D62" s="100">
        <v>42686639.310000002</v>
      </c>
      <c r="E62" s="100">
        <v>32366783.129999999</v>
      </c>
      <c r="F62" s="100">
        <v>44574559.719999991</v>
      </c>
      <c r="G62" s="100">
        <v>48774906.38000001</v>
      </c>
      <c r="H62" s="100">
        <v>46537612.770000003</v>
      </c>
      <c r="I62" s="100">
        <v>53044315.080000006</v>
      </c>
      <c r="J62" s="100">
        <v>62903717.32</v>
      </c>
      <c r="K62" s="100">
        <v>61273877.530000001</v>
      </c>
      <c r="L62" s="100">
        <v>52276898.789999999</v>
      </c>
      <c r="M62" s="100">
        <v>54127862.850000001</v>
      </c>
      <c r="N62" s="100">
        <v>50745926.019999988</v>
      </c>
      <c r="O62" s="100">
        <v>38292514.890000008</v>
      </c>
      <c r="P62" s="100">
        <v>39288799.780000009</v>
      </c>
      <c r="Q62" s="100">
        <v>36094952.360000007</v>
      </c>
      <c r="R62" s="100">
        <v>34692702.740000002</v>
      </c>
      <c r="S62" s="100">
        <v>36219298.449999996</v>
      </c>
      <c r="T62" s="100">
        <v>35898345.979999997</v>
      </c>
      <c r="U62" s="100">
        <v>36932052</v>
      </c>
      <c r="V62" s="100">
        <v>31681701.75</v>
      </c>
      <c r="W62" s="100">
        <v>37348465.799999997</v>
      </c>
      <c r="X62" s="100">
        <v>48899252.07</v>
      </c>
      <c r="Y62" s="81"/>
      <c r="Z62" s="81"/>
    </row>
    <row r="63" spans="2:26">
      <c r="B63" s="112" t="s">
        <v>204</v>
      </c>
      <c r="C63" s="113" t="s">
        <v>205</v>
      </c>
      <c r="D63" s="100">
        <v>140021</v>
      </c>
      <c r="E63" s="100">
        <v>321782</v>
      </c>
      <c r="F63" s="100">
        <v>222998</v>
      </c>
      <c r="G63" s="100">
        <v>166545</v>
      </c>
      <c r="H63" s="100">
        <v>0</v>
      </c>
      <c r="I63" s="100">
        <v>30203</v>
      </c>
      <c r="J63" s="100">
        <v>166158</v>
      </c>
      <c r="K63" s="100">
        <v>0</v>
      </c>
      <c r="L63" s="100">
        <v>0</v>
      </c>
      <c r="M63" s="100">
        <v>1775</v>
      </c>
      <c r="N63" s="100">
        <v>134982</v>
      </c>
      <c r="O63" s="100">
        <v>67449</v>
      </c>
      <c r="P63" s="100">
        <v>50381</v>
      </c>
      <c r="Q63" s="100">
        <v>74005</v>
      </c>
      <c r="R63" s="100">
        <v>57282</v>
      </c>
      <c r="S63" s="100">
        <v>3398</v>
      </c>
      <c r="T63" s="100">
        <v>0</v>
      </c>
      <c r="U63" s="100">
        <v>0</v>
      </c>
      <c r="V63" s="100">
        <v>0</v>
      </c>
      <c r="W63" s="100">
        <v>0</v>
      </c>
      <c r="X63" s="100">
        <v>5069</v>
      </c>
      <c r="Y63" s="89"/>
      <c r="Z63" s="89"/>
    </row>
    <row r="64" spans="2:26">
      <c r="B64" s="112" t="s">
        <v>206</v>
      </c>
      <c r="C64" s="113" t="s">
        <v>188</v>
      </c>
      <c r="D64" s="100">
        <v>32376573.129999999</v>
      </c>
      <c r="E64" s="100">
        <v>33978077.759999998</v>
      </c>
      <c r="F64" s="100">
        <v>34216329.559999995</v>
      </c>
      <c r="G64" s="100">
        <v>35593676.579999998</v>
      </c>
      <c r="H64" s="100">
        <v>42173639.860000007</v>
      </c>
      <c r="I64" s="100">
        <v>47173667.039999999</v>
      </c>
      <c r="J64" s="100">
        <v>37493472.120000005</v>
      </c>
      <c r="K64" s="100">
        <v>38885940.979999997</v>
      </c>
      <c r="L64" s="100">
        <v>45333646.869999997</v>
      </c>
      <c r="M64" s="100">
        <v>55444874.079999998</v>
      </c>
      <c r="N64" s="100">
        <v>51905047.080000006</v>
      </c>
      <c r="O64" s="100">
        <v>53162384.810000002</v>
      </c>
      <c r="P64" s="100">
        <v>51343668.469999999</v>
      </c>
      <c r="Q64" s="100">
        <v>47147411.000000007</v>
      </c>
      <c r="R64" s="100">
        <v>67144680.090000018</v>
      </c>
      <c r="S64" s="100">
        <v>45150483.949999996</v>
      </c>
      <c r="T64" s="100">
        <v>44807334.590000004</v>
      </c>
      <c r="U64" s="100">
        <v>47358817.170000002</v>
      </c>
      <c r="V64" s="100">
        <v>43636004.720000006</v>
      </c>
      <c r="W64" s="100">
        <v>37616985.989999995</v>
      </c>
      <c r="X64" s="100">
        <v>40237141.990000002</v>
      </c>
      <c r="Y64" s="89"/>
      <c r="Z64" s="89"/>
    </row>
    <row r="65" spans="2:26" ht="5.5" customHeight="1">
      <c r="B65" s="91"/>
      <c r="C65" s="92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2"/>
      <c r="X65" s="102"/>
      <c r="Y65" s="78"/>
      <c r="Z65" s="78"/>
    </row>
    <row r="66" spans="2:26">
      <c r="B66" s="117" t="s">
        <v>16</v>
      </c>
      <c r="C66" s="118" t="s">
        <v>207</v>
      </c>
      <c r="D66" s="119">
        <v>112464734.90000001</v>
      </c>
      <c r="E66" s="119">
        <v>102912761.78</v>
      </c>
      <c r="F66" s="119">
        <v>102458864.75999999</v>
      </c>
      <c r="G66" s="119">
        <v>116353493.04064301</v>
      </c>
      <c r="H66" s="119">
        <v>125638785.57471803</v>
      </c>
      <c r="I66" s="119">
        <v>143117884.61031801</v>
      </c>
      <c r="J66" s="119">
        <v>143883622.2967</v>
      </c>
      <c r="K66" s="119">
        <v>147329902.05855799</v>
      </c>
      <c r="L66" s="119">
        <v>148634287.38</v>
      </c>
      <c r="M66" s="119">
        <v>165590401.653938</v>
      </c>
      <c r="N66" s="119">
        <v>163036244.53</v>
      </c>
      <c r="O66" s="119">
        <v>153265454.73000002</v>
      </c>
      <c r="P66" s="119">
        <v>148866913</v>
      </c>
      <c r="Q66" s="119">
        <v>141053911.20000002</v>
      </c>
      <c r="R66" s="119">
        <v>168397349.79000002</v>
      </c>
      <c r="S66" s="119">
        <v>150032275.33999997</v>
      </c>
      <c r="T66" s="119">
        <v>152713126.78</v>
      </c>
      <c r="U66" s="119">
        <v>164907895.44</v>
      </c>
      <c r="V66" s="119">
        <v>147764534.53999999</v>
      </c>
      <c r="W66" s="119">
        <v>134471906.22999999</v>
      </c>
      <c r="X66" s="119">
        <v>158794314.23000002</v>
      </c>
      <c r="Y66" s="81"/>
      <c r="Z66" s="81"/>
    </row>
    <row r="67" spans="2:26" ht="5.5" customHeight="1" thickBot="1">
      <c r="B67" s="93"/>
      <c r="C67" s="94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4"/>
      <c r="X67" s="104"/>
      <c r="Y67" s="78"/>
      <c r="Z67" s="78"/>
    </row>
    <row r="68" spans="2:26" ht="11" thickBot="1">
      <c r="B68" s="95" t="s">
        <v>210</v>
      </c>
      <c r="C68" s="96" t="s">
        <v>208</v>
      </c>
      <c r="D68" s="105">
        <v>768526140.55737412</v>
      </c>
      <c r="E68" s="105">
        <v>764561763.5372858</v>
      </c>
      <c r="F68" s="105">
        <v>760856086.66644359</v>
      </c>
      <c r="G68" s="105">
        <v>763755159.72214389</v>
      </c>
      <c r="H68" s="105">
        <v>768748240.8127619</v>
      </c>
      <c r="I68" s="105">
        <v>794138412.55840027</v>
      </c>
      <c r="J68" s="105">
        <v>790418630.26840043</v>
      </c>
      <c r="K68" s="105">
        <v>799057122.90840054</v>
      </c>
      <c r="L68" s="105">
        <v>796994647.26840019</v>
      </c>
      <c r="M68" s="105">
        <v>822224258.5484004</v>
      </c>
      <c r="N68" s="105">
        <v>823197816.45840001</v>
      </c>
      <c r="O68" s="105">
        <v>818872794.49214411</v>
      </c>
      <c r="P68" s="105">
        <v>815909877.31214428</v>
      </c>
      <c r="Q68" s="105">
        <v>810326384.10840023</v>
      </c>
      <c r="R68" s="105">
        <v>843850763.39840007</v>
      </c>
      <c r="S68" s="105">
        <v>829768923.60214436</v>
      </c>
      <c r="T68" s="105">
        <v>842580067.5821445</v>
      </c>
      <c r="U68" s="105">
        <v>865188320.40791821</v>
      </c>
      <c r="V68" s="105">
        <v>866053508.23495603</v>
      </c>
      <c r="W68" s="105">
        <v>854954175.72495615</v>
      </c>
      <c r="X68" s="105">
        <v>858611180.96495652</v>
      </c>
      <c r="Y68" s="78"/>
      <c r="Z68" s="78"/>
    </row>
    <row r="70" spans="2:26" ht="12" customHeight="1">
      <c r="C70" s="177"/>
      <c r="Y70" s="78"/>
      <c r="Z70" s="78"/>
    </row>
    <row r="71" spans="2:26">
      <c r="C71" s="178"/>
    </row>
    <row r="72" spans="2:26">
      <c r="C72" s="178"/>
    </row>
    <row r="73" spans="2:26">
      <c r="C73" s="179"/>
    </row>
    <row r="74" spans="2:26">
      <c r="C74" s="180"/>
      <c r="Y74" s="89"/>
      <c r="Z74" s="89"/>
    </row>
    <row r="75" spans="2:26">
      <c r="C75" s="181"/>
    </row>
  </sheetData>
  <pageMargins left="0.7" right="0.7" top="0.75" bottom="0.75" header="0.3" footer="0.3"/>
  <pageSetup paperSize="9" scale="1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YZ91"/>
  <sheetViews>
    <sheetView workbookViewId="0"/>
  </sheetViews>
  <sheetFormatPr defaultColWidth="9.1796875" defaultRowHeight="10.5" outlineLevelCol="1"/>
  <cols>
    <col min="1" max="1" width="24.453125" style="4" customWidth="1"/>
    <col min="2" max="2" width="13" style="3" customWidth="1"/>
    <col min="3" max="3" width="0.81640625" style="3" customWidth="1"/>
    <col min="4" max="4" width="11.54296875" style="2" customWidth="1"/>
    <col min="5" max="5" width="1.453125" style="2" customWidth="1"/>
    <col min="6" max="6" width="11.453125" style="61" customWidth="1"/>
    <col min="7" max="7" width="1.453125" style="2" bestFit="1" customWidth="1"/>
    <col min="8" max="8" width="11.54296875" style="2" customWidth="1"/>
    <col min="9" max="9" width="1.54296875" style="2" customWidth="1"/>
    <col min="10" max="10" width="11.453125" style="2" customWidth="1" outlineLevel="1"/>
    <col min="11" max="11" width="2.1796875" style="2" customWidth="1" outlineLevel="1"/>
    <col min="12" max="12" width="11.54296875" style="2" customWidth="1" outlineLevel="1"/>
    <col min="13" max="13" width="1" style="2" customWidth="1"/>
    <col min="14" max="14" width="12.453125" style="2" bestFit="1" customWidth="1"/>
    <col min="15" max="16" width="9.1796875" style="4"/>
    <col min="17" max="17" width="24.453125" style="4" customWidth="1"/>
    <col min="18" max="18" width="13" style="3" customWidth="1"/>
    <col min="19" max="19" width="0.81640625" style="3" customWidth="1"/>
    <col min="20" max="20" width="11.54296875" style="2" customWidth="1"/>
    <col min="21" max="21" width="1.453125" style="2" customWidth="1"/>
    <col min="22" max="22" width="11.453125" style="61" customWidth="1"/>
    <col min="23" max="23" width="1.81640625" style="61" customWidth="1"/>
    <col min="24" max="24" width="12.453125" style="2" customWidth="1"/>
    <col min="25" max="25" width="1.453125" style="2" customWidth="1"/>
    <col min="26" max="26" width="11.453125" style="2" customWidth="1" outlineLevel="1"/>
    <col min="27" max="27" width="2.1796875" style="2" customWidth="1" outlineLevel="1"/>
    <col min="28" max="28" width="11.54296875" style="2" customWidth="1" outlineLevel="1"/>
    <col min="29" max="29" width="1" style="2" customWidth="1"/>
    <col min="30" max="30" width="12.453125" style="2" bestFit="1" customWidth="1"/>
    <col min="31" max="32" width="9.1796875" style="4"/>
    <col min="33" max="33" width="24.453125" style="4" customWidth="1"/>
    <col min="34" max="34" width="13" style="3" customWidth="1"/>
    <col min="35" max="35" width="0.81640625" style="3" customWidth="1"/>
    <col min="36" max="36" width="11.54296875" style="2" customWidth="1"/>
    <col min="37" max="37" width="1.453125" style="2" customWidth="1"/>
    <col min="38" max="38" width="11.453125" style="61" customWidth="1"/>
    <col min="39" max="39" width="2.1796875" style="61" customWidth="1"/>
    <col min="40" max="40" width="11.453125" style="61" customWidth="1"/>
    <col min="41" max="41" width="1.453125" style="2" bestFit="1" customWidth="1"/>
    <col min="42" max="42" width="11.453125" style="2" customWidth="1" outlineLevel="1"/>
    <col min="43" max="43" width="1.453125" style="2" customWidth="1" outlineLevel="1"/>
    <col min="44" max="44" width="11.54296875" style="2" customWidth="1" outlineLevel="1"/>
    <col min="45" max="45" width="1" style="2" customWidth="1"/>
    <col min="46" max="46" width="12.453125" style="2" bestFit="1" customWidth="1"/>
    <col min="47" max="48" width="9.1796875" style="4"/>
    <col min="49" max="49" width="24.453125" style="4" customWidth="1"/>
    <col min="50" max="50" width="13" style="3" customWidth="1"/>
    <col min="51" max="51" width="0.81640625" style="3" customWidth="1"/>
    <col min="52" max="52" width="11.54296875" style="2" customWidth="1"/>
    <col min="53" max="53" width="1.453125" style="2" customWidth="1"/>
    <col min="54" max="54" width="11.453125" style="61" customWidth="1"/>
    <col min="55" max="55" width="1.54296875" style="61" customWidth="1"/>
    <col min="56" max="56" width="11.453125" style="61" customWidth="1"/>
    <col min="57" max="57" width="1.453125" style="2" bestFit="1" customWidth="1"/>
    <col min="58" max="58" width="11.453125" style="2" customWidth="1" outlineLevel="1"/>
    <col min="59" max="59" width="2.1796875" style="2" customWidth="1" outlineLevel="1"/>
    <col min="60" max="60" width="11.54296875" style="2" customWidth="1" outlineLevel="1"/>
    <col min="61" max="61" width="1" style="2" customWidth="1"/>
    <col min="62" max="62" width="12.453125" style="2" bestFit="1" customWidth="1"/>
    <col min="63" max="64" width="9.1796875" style="4"/>
    <col min="65" max="65" width="24.453125" style="4" customWidth="1"/>
    <col min="66" max="66" width="13" style="3" customWidth="1"/>
    <col min="67" max="67" width="0.81640625" style="3" customWidth="1"/>
    <col min="68" max="68" width="11.54296875" style="2" customWidth="1"/>
    <col min="69" max="69" width="1.453125" style="2" customWidth="1"/>
    <col min="70" max="70" width="11.453125" style="61" customWidth="1"/>
    <col min="71" max="71" width="1.453125" style="2" bestFit="1" customWidth="1"/>
    <col min="72" max="72" width="11.453125" style="61" customWidth="1"/>
    <col min="73" max="73" width="1.54296875" style="2" customWidth="1"/>
    <col min="74" max="74" width="11.453125" style="2" customWidth="1" outlineLevel="1"/>
    <col min="75" max="75" width="2.1796875" style="2" customWidth="1" outlineLevel="1"/>
    <col min="76" max="76" width="11.54296875" style="2" customWidth="1" outlineLevel="1"/>
    <col min="77" max="77" width="1" style="2" customWidth="1"/>
    <col min="78" max="78" width="12.453125" style="2" bestFit="1" customWidth="1"/>
    <col min="79" max="80" width="9.1796875" style="4"/>
    <col min="81" max="81" width="24.453125" style="4" customWidth="1"/>
    <col min="82" max="82" width="13" style="3" customWidth="1"/>
    <col min="83" max="83" width="0.81640625" style="3" customWidth="1"/>
    <col min="84" max="84" width="11.54296875" style="2" customWidth="1"/>
    <col min="85" max="85" width="1.453125" style="2" customWidth="1"/>
    <col min="86" max="86" width="11.453125" style="61" customWidth="1"/>
    <col min="87" max="87" width="1.54296875" style="61" customWidth="1"/>
    <col min="88" max="88" width="11.453125" style="61" customWidth="1"/>
    <col min="89" max="89" width="1.453125" style="2" bestFit="1" customWidth="1"/>
    <col min="90" max="90" width="11.453125" style="2" customWidth="1" outlineLevel="1"/>
    <col min="91" max="91" width="2.1796875" style="2" customWidth="1" outlineLevel="1"/>
    <col min="92" max="92" width="11.54296875" style="2" customWidth="1" outlineLevel="1"/>
    <col min="93" max="93" width="1" style="2" customWidth="1"/>
    <col min="94" max="94" width="12.453125" style="2" bestFit="1" customWidth="1"/>
    <col min="95" max="96" width="9.1796875" style="4"/>
    <col min="97" max="97" width="24.453125" style="4" customWidth="1"/>
    <col min="98" max="98" width="13" style="3" customWidth="1"/>
    <col min="99" max="99" width="0.81640625" style="3" customWidth="1"/>
    <col min="100" max="100" width="11.54296875" style="2" customWidth="1"/>
    <col min="101" max="101" width="1.453125" style="2" customWidth="1"/>
    <col min="102" max="102" width="11.453125" style="61" customWidth="1"/>
    <col min="103" max="103" width="1.453125" style="61" customWidth="1"/>
    <col min="104" max="104" width="11.453125" style="61" customWidth="1"/>
    <col min="105" max="105" width="1.453125" style="2" bestFit="1" customWidth="1"/>
    <col min="106" max="106" width="11.453125" style="2" customWidth="1" outlineLevel="1"/>
    <col min="107" max="107" width="2.1796875" style="2" customWidth="1" outlineLevel="1"/>
    <col min="108" max="108" width="11.54296875" style="2" customWidth="1" outlineLevel="1"/>
    <col min="109" max="109" width="1" style="2" customWidth="1"/>
    <col min="110" max="110" width="12.453125" style="2" bestFit="1" customWidth="1"/>
    <col min="111" max="112" width="9.1796875" style="4"/>
    <col min="113" max="113" width="24.453125" style="4" customWidth="1"/>
    <col min="114" max="114" width="13" style="3" customWidth="1"/>
    <col min="115" max="115" width="0.81640625" style="3" customWidth="1"/>
    <col min="116" max="116" width="11.54296875" style="2" customWidth="1"/>
    <col min="117" max="117" width="1.453125" style="2" customWidth="1"/>
    <col min="118" max="118" width="11.453125" style="61" customWidth="1"/>
    <col min="119" max="119" width="1.54296875" style="61" customWidth="1"/>
    <col min="120" max="120" width="11.453125" style="61" customWidth="1"/>
    <col min="121" max="121" width="1.453125" style="2" bestFit="1" customWidth="1"/>
    <col min="122" max="122" width="11.453125" style="2" customWidth="1" outlineLevel="1"/>
    <col min="123" max="123" width="2.1796875" style="2" customWidth="1" outlineLevel="1"/>
    <col min="124" max="124" width="11.54296875" style="2" customWidth="1" outlineLevel="1"/>
    <col min="125" max="125" width="1" style="2" customWidth="1"/>
    <col min="126" max="126" width="12.453125" style="2" bestFit="1" customWidth="1"/>
    <col min="127" max="128" width="9.1796875" style="4"/>
    <col min="129" max="129" width="24.453125" style="4" customWidth="1"/>
    <col min="130" max="130" width="13" style="3" customWidth="1"/>
    <col min="131" max="131" width="0.81640625" style="3" customWidth="1"/>
    <col min="132" max="132" width="11.54296875" style="2" customWidth="1"/>
    <col min="133" max="133" width="1.453125" style="2" customWidth="1"/>
    <col min="134" max="134" width="11.453125" style="61" customWidth="1"/>
    <col min="135" max="135" width="1.453125" style="2" bestFit="1" customWidth="1"/>
    <col min="136" max="136" width="11.453125" style="2" customWidth="1" outlineLevel="1"/>
    <col min="137" max="137" width="2.1796875" style="2" customWidth="1" outlineLevel="1"/>
    <col min="138" max="138" width="11.54296875" style="2" customWidth="1" outlineLevel="1"/>
    <col min="139" max="139" width="1" style="2" customWidth="1"/>
    <col min="140" max="140" width="12.453125" style="2" bestFit="1" customWidth="1"/>
    <col min="141" max="142" width="9.1796875" style="4"/>
    <col min="143" max="143" width="24.453125" style="4" customWidth="1"/>
    <col min="144" max="144" width="13" style="3" customWidth="1"/>
    <col min="145" max="145" width="0.81640625" style="3" customWidth="1"/>
    <col min="146" max="146" width="11.54296875" style="2" customWidth="1"/>
    <col min="147" max="147" width="1.453125" style="2" customWidth="1"/>
    <col min="148" max="148" width="12.1796875" style="61" customWidth="1"/>
    <col min="149" max="149" width="1.453125" style="2" bestFit="1" customWidth="1"/>
    <col min="150" max="150" width="11.453125" style="2" customWidth="1" outlineLevel="1"/>
    <col min="151" max="151" width="2.1796875" style="2" customWidth="1" outlineLevel="1"/>
    <col min="152" max="152" width="10.54296875" style="2" bestFit="1" customWidth="1" outlineLevel="1"/>
    <col min="153" max="153" width="1" style="2" customWidth="1"/>
    <col min="154" max="154" width="12.453125" style="2" customWidth="1"/>
    <col min="155" max="156" width="9.1796875" style="4"/>
    <col min="157" max="157" width="24.453125" style="4" customWidth="1"/>
    <col min="158" max="158" width="13" style="3" customWidth="1"/>
    <col min="159" max="159" width="0.81640625" style="3" customWidth="1"/>
    <col min="160" max="160" width="11.54296875" style="2" customWidth="1"/>
    <col min="161" max="161" width="1.453125" style="2" customWidth="1"/>
    <col min="162" max="162" width="10.54296875" style="61" customWidth="1"/>
    <col min="163" max="163" width="1.453125" style="2" bestFit="1" customWidth="1"/>
    <col min="164" max="164" width="11.453125" style="2" customWidth="1" outlineLevel="1"/>
    <col min="165" max="165" width="2.1796875" style="2" customWidth="1" outlineLevel="1"/>
    <col min="166" max="166" width="10.54296875" style="2" bestFit="1" customWidth="1" outlineLevel="1"/>
    <col min="167" max="167" width="1" style="2" customWidth="1"/>
    <col min="168" max="168" width="12.453125" style="2" customWidth="1"/>
    <col min="169" max="170" width="9.1796875" style="4"/>
    <col min="171" max="171" width="24.453125" style="4" customWidth="1"/>
    <col min="172" max="172" width="13" style="3" customWidth="1"/>
    <col min="173" max="173" width="0.81640625" style="3" customWidth="1"/>
    <col min="174" max="174" width="11.54296875" style="2" customWidth="1"/>
    <col min="175" max="175" width="1.453125" style="2" customWidth="1"/>
    <col min="176" max="176" width="10.54296875" style="61" customWidth="1"/>
    <col min="177" max="177" width="1.453125" style="2" bestFit="1" customWidth="1"/>
    <col min="178" max="178" width="11.453125" style="2" customWidth="1" outlineLevel="1"/>
    <col min="179" max="179" width="2.1796875" style="2" customWidth="1" outlineLevel="1"/>
    <col min="180" max="180" width="10.54296875" style="2" bestFit="1" customWidth="1" outlineLevel="1"/>
    <col min="181" max="181" width="1" style="2" customWidth="1"/>
    <col min="182" max="182" width="12.453125" style="2" customWidth="1"/>
    <col min="183" max="184" width="9.1796875" style="4"/>
    <col min="185" max="185" width="24.453125" style="4" customWidth="1"/>
    <col min="186" max="186" width="13" style="3" customWidth="1"/>
    <col min="187" max="187" width="0.81640625" style="3" customWidth="1"/>
    <col min="188" max="188" width="11.54296875" style="2" customWidth="1"/>
    <col min="189" max="189" width="1.453125" style="2" customWidth="1"/>
    <col min="190" max="190" width="11.453125" style="61" customWidth="1"/>
    <col min="191" max="191" width="1.453125" style="2" bestFit="1" customWidth="1"/>
    <col min="192" max="192" width="11.453125" style="2" customWidth="1" outlineLevel="1"/>
    <col min="193" max="193" width="2.1796875" style="2" customWidth="1" outlineLevel="1"/>
    <col min="194" max="194" width="10.54296875" style="2" bestFit="1" customWidth="1" outlineLevel="1"/>
    <col min="195" max="195" width="1" style="2" customWidth="1"/>
    <col min="196" max="196" width="12.453125" style="2" customWidth="1"/>
    <col min="197" max="198" width="9.1796875" style="4"/>
    <col min="199" max="199" width="24.453125" style="4" customWidth="1"/>
    <col min="200" max="200" width="13" style="3" customWidth="1"/>
    <col min="201" max="201" width="0.81640625" style="3" customWidth="1"/>
    <col min="202" max="202" width="11.54296875" style="2" customWidth="1"/>
    <col min="203" max="203" width="1.453125" style="2" customWidth="1"/>
    <col min="204" max="204" width="10.54296875" style="61" customWidth="1"/>
    <col min="205" max="205" width="1.453125" style="2" bestFit="1" customWidth="1"/>
    <col min="206" max="206" width="11.453125" style="2" customWidth="1" outlineLevel="1"/>
    <col min="207" max="207" width="2.1796875" style="2" customWidth="1" outlineLevel="1"/>
    <col min="208" max="208" width="10.54296875" style="2" bestFit="1" customWidth="1" outlineLevel="1"/>
    <col min="209" max="209" width="1" style="2" customWidth="1"/>
    <col min="210" max="210" width="12.453125" style="2" customWidth="1"/>
    <col min="211" max="212" width="9.1796875" style="4"/>
    <col min="213" max="213" width="24.453125" style="4" customWidth="1"/>
    <col min="214" max="214" width="13" style="3" customWidth="1"/>
    <col min="215" max="215" width="0.81640625" style="3" customWidth="1"/>
    <col min="216" max="216" width="11.54296875" style="2" customWidth="1"/>
    <col min="217" max="217" width="1.453125" style="2" customWidth="1"/>
    <col min="218" max="218" width="10.54296875" style="61" customWidth="1"/>
    <col min="219" max="219" width="1.453125" style="2" bestFit="1" customWidth="1"/>
    <col min="220" max="220" width="11.453125" style="2" customWidth="1" outlineLevel="1"/>
    <col min="221" max="221" width="2.1796875" style="2" customWidth="1" outlineLevel="1"/>
    <col min="222" max="222" width="10.54296875" style="2" bestFit="1" customWidth="1" outlineLevel="1"/>
    <col min="223" max="223" width="1" style="2" customWidth="1"/>
    <col min="224" max="224" width="12.453125" style="2" customWidth="1"/>
    <col min="225" max="226" width="9.1796875" style="4"/>
    <col min="227" max="227" width="24.453125" style="4" customWidth="1"/>
    <col min="228" max="228" width="13" style="3" customWidth="1"/>
    <col min="229" max="229" width="0.81640625" style="3" customWidth="1"/>
    <col min="230" max="230" width="11.54296875" style="2" customWidth="1"/>
    <col min="231" max="231" width="1.453125" style="2" customWidth="1"/>
    <col min="232" max="232" width="10.54296875" style="61" customWidth="1"/>
    <col min="233" max="233" width="1.453125" style="2" bestFit="1" customWidth="1"/>
    <col min="234" max="234" width="11.453125" style="2" customWidth="1" outlineLevel="1"/>
    <col min="235" max="235" width="2.1796875" style="2" customWidth="1" outlineLevel="1"/>
    <col min="236" max="236" width="10.54296875" style="2" bestFit="1" customWidth="1" outlineLevel="1"/>
    <col min="237" max="237" width="1" style="2" customWidth="1"/>
    <col min="238" max="238" width="12.453125" style="2" customWidth="1"/>
    <col min="239" max="240" width="9.1796875" style="4"/>
    <col min="241" max="241" width="24.453125" style="4" customWidth="1"/>
    <col min="242" max="242" width="13" style="3" customWidth="1"/>
    <col min="243" max="243" width="0.81640625" style="3" customWidth="1"/>
    <col min="244" max="244" width="11.54296875" style="2" customWidth="1"/>
    <col min="245" max="245" width="1.453125" style="2" customWidth="1"/>
    <col min="246" max="246" width="10.54296875" style="61" customWidth="1"/>
    <col min="247" max="247" width="1.453125" style="2" bestFit="1" customWidth="1"/>
    <col min="248" max="248" width="11.453125" style="2" customWidth="1" outlineLevel="1"/>
    <col min="249" max="249" width="2.1796875" style="2" customWidth="1" outlineLevel="1"/>
    <col min="250" max="250" width="10.54296875" style="2" bestFit="1" customWidth="1" outlineLevel="1"/>
    <col min="251" max="251" width="1" style="2" customWidth="1"/>
    <col min="252" max="252" width="12.453125" style="2" customWidth="1"/>
    <col min="253" max="254" width="9.1796875" style="4"/>
    <col min="255" max="255" width="24.453125" style="4" customWidth="1"/>
    <col min="256" max="256" width="13" style="3" customWidth="1"/>
    <col min="257" max="257" width="0.81640625" style="3" customWidth="1"/>
    <col min="258" max="258" width="11.54296875" style="2" customWidth="1"/>
    <col min="259" max="259" width="1.453125" style="2" customWidth="1"/>
    <col min="260" max="260" width="10.54296875" style="61" customWidth="1"/>
    <col min="261" max="261" width="1.453125" style="2" bestFit="1" customWidth="1"/>
    <col min="262" max="262" width="11.453125" style="2" customWidth="1" outlineLevel="1"/>
    <col min="263" max="263" width="2.1796875" style="2" customWidth="1" outlineLevel="1"/>
    <col min="264" max="264" width="10.54296875" style="2" bestFit="1" customWidth="1" outlineLevel="1"/>
    <col min="265" max="265" width="1" style="2" customWidth="1"/>
    <col min="266" max="266" width="12.453125" style="2" customWidth="1"/>
    <col min="267" max="268" width="9.1796875" style="4"/>
    <col min="269" max="269" width="24.453125" style="4" customWidth="1"/>
    <col min="270" max="270" width="13" style="3" customWidth="1"/>
    <col min="271" max="271" width="0.81640625" style="3" customWidth="1"/>
    <col min="272" max="272" width="11.54296875" style="2" customWidth="1"/>
    <col min="273" max="273" width="1.453125" style="2" customWidth="1"/>
    <col min="274" max="274" width="10.54296875" style="61" customWidth="1"/>
    <col min="275" max="275" width="1.453125" style="2" bestFit="1" customWidth="1"/>
    <col min="276" max="276" width="11.453125" style="2" customWidth="1" outlineLevel="1"/>
    <col min="277" max="277" width="2.1796875" style="2" customWidth="1" outlineLevel="1"/>
    <col min="278" max="278" width="10.54296875" style="2" bestFit="1" customWidth="1" outlineLevel="1"/>
    <col min="279" max="279" width="1" style="2" customWidth="1"/>
    <col min="280" max="280" width="12.453125" style="2" customWidth="1"/>
    <col min="281" max="282" width="9.1796875" style="4"/>
    <col min="283" max="283" width="24.453125" style="4" customWidth="1"/>
    <col min="284" max="284" width="13" style="3" customWidth="1"/>
    <col min="285" max="285" width="0.81640625" style="3" customWidth="1"/>
    <col min="286" max="286" width="11.54296875" style="2" customWidth="1"/>
    <col min="287" max="287" width="1.453125" style="2" customWidth="1"/>
    <col min="288" max="288" width="10.54296875" style="61" customWidth="1"/>
    <col min="289" max="289" width="1.453125" style="2" bestFit="1" customWidth="1"/>
    <col min="290" max="290" width="11.453125" style="2" customWidth="1" outlineLevel="1"/>
    <col min="291" max="291" width="2.1796875" style="2" customWidth="1" outlineLevel="1"/>
    <col min="292" max="292" width="10.54296875" style="2" bestFit="1" customWidth="1" outlineLevel="1"/>
    <col min="293" max="293" width="1" style="2" customWidth="1"/>
    <col min="294" max="294" width="12.453125" style="2" customWidth="1"/>
    <col min="295" max="296" width="9.1796875" style="4"/>
    <col min="297" max="297" width="24.453125" style="4" customWidth="1"/>
    <col min="298" max="298" width="13" style="3" customWidth="1"/>
    <col min="299" max="299" width="0.81640625" style="3" customWidth="1"/>
    <col min="300" max="300" width="11.54296875" style="2" customWidth="1"/>
    <col min="301" max="301" width="1.453125" style="2" customWidth="1"/>
    <col min="302" max="302" width="10.54296875" style="61" customWidth="1"/>
    <col min="303" max="303" width="1.453125" style="2" bestFit="1" customWidth="1"/>
    <col min="304" max="304" width="11.453125" style="2" customWidth="1" outlineLevel="1"/>
    <col min="305" max="305" width="2.1796875" style="2" customWidth="1" outlineLevel="1"/>
    <col min="306" max="306" width="10.54296875" style="2" bestFit="1" customWidth="1" outlineLevel="1"/>
    <col min="307" max="307" width="1" style="2" customWidth="1"/>
    <col min="308" max="308" width="12.453125" style="2" customWidth="1"/>
    <col min="309" max="310" width="9.1796875" style="4"/>
    <col min="311" max="311" width="24.453125" style="4" customWidth="1"/>
    <col min="312" max="312" width="13" style="3" customWidth="1"/>
    <col min="313" max="313" width="0.81640625" style="3" customWidth="1"/>
    <col min="314" max="314" width="11.54296875" style="2" customWidth="1"/>
    <col min="315" max="315" width="1.453125" style="2" customWidth="1"/>
    <col min="316" max="316" width="10.54296875" style="61" customWidth="1"/>
    <col min="317" max="317" width="1.453125" style="2" bestFit="1" customWidth="1"/>
    <col min="318" max="318" width="11.453125" style="2" customWidth="1" outlineLevel="1"/>
    <col min="319" max="319" width="2.1796875" style="2" customWidth="1" outlineLevel="1"/>
    <col min="320" max="320" width="10.54296875" style="2" customWidth="1" outlineLevel="1"/>
    <col min="321" max="321" width="1" style="2" customWidth="1"/>
    <col min="322" max="322" width="12.453125" style="2" customWidth="1"/>
    <col min="323" max="324" width="9.1796875" style="4"/>
    <col min="325" max="325" width="24.453125" style="4" customWidth="1"/>
    <col min="326" max="326" width="11.453125" style="3" bestFit="1" customWidth="1"/>
    <col min="327" max="327" width="0.81640625" style="3" customWidth="1"/>
    <col min="328" max="328" width="11.1796875" style="2" customWidth="1"/>
    <col min="329" max="329" width="1.54296875" style="2" customWidth="1"/>
    <col min="330" max="330" width="11.54296875" style="2" customWidth="1"/>
    <col min="331" max="331" width="1.453125" style="2" customWidth="1"/>
    <col min="332" max="332" width="10.54296875" style="2" bestFit="1" customWidth="1"/>
    <col min="333" max="333" width="2.1796875" style="2" customWidth="1"/>
    <col min="334" max="334" width="10.54296875" style="2" bestFit="1" customWidth="1"/>
    <col min="335" max="335" width="1" style="2" customWidth="1"/>
    <col min="336" max="336" width="11.453125" style="2" bestFit="1" customWidth="1"/>
    <col min="337" max="337" width="5.54296875" style="4" customWidth="1"/>
    <col min="338" max="338" width="24.453125" style="4" customWidth="1"/>
    <col min="339" max="339" width="11.453125" style="3" bestFit="1" customWidth="1"/>
    <col min="340" max="340" width="0.81640625" style="3" customWidth="1"/>
    <col min="341" max="341" width="11.453125" style="2" bestFit="1" customWidth="1"/>
    <col min="342" max="342" width="1.453125" style="2" customWidth="1"/>
    <col min="343" max="343" width="11.1796875" style="2" customWidth="1"/>
    <col min="344" max="344" width="1.453125" style="2" bestFit="1" customWidth="1"/>
    <col min="345" max="345" width="10.54296875" style="2" bestFit="1" customWidth="1"/>
    <col min="346" max="346" width="2.1796875" style="2" customWidth="1"/>
    <col min="347" max="347" width="12.453125" style="2" customWidth="1"/>
    <col min="348" max="348" width="1" style="2" customWidth="1"/>
    <col min="349" max="349" width="13.54296875" style="2" customWidth="1"/>
    <col min="350" max="350" width="3" style="2" customWidth="1"/>
    <col min="351" max="351" width="24.453125" style="4" customWidth="1"/>
    <col min="352" max="352" width="13" style="3" customWidth="1"/>
    <col min="353" max="353" width="0.81640625" style="3" customWidth="1"/>
    <col min="354" max="354" width="11.54296875" style="2" customWidth="1"/>
    <col min="355" max="355" width="1.453125" style="2" customWidth="1"/>
    <col min="356" max="356" width="10.54296875" style="61" customWidth="1"/>
    <col min="357" max="357" width="1.453125" style="2" bestFit="1" customWidth="1"/>
    <col min="358" max="358" width="11.453125" style="2" customWidth="1" outlineLevel="1"/>
    <col min="359" max="359" width="2.1796875" style="2" customWidth="1" outlineLevel="1"/>
    <col min="360" max="360" width="10.54296875" style="2" bestFit="1" customWidth="1" outlineLevel="1"/>
    <col min="361" max="361" width="1" style="2" customWidth="1"/>
    <col min="362" max="362" width="12.453125" style="2" customWidth="1"/>
    <col min="363" max="364" width="9.1796875" style="4"/>
    <col min="365" max="365" width="24.453125" style="4" customWidth="1"/>
    <col min="366" max="366" width="13" style="3" customWidth="1"/>
    <col min="367" max="367" width="0.81640625" style="3" customWidth="1"/>
    <col min="368" max="368" width="11.54296875" style="2" customWidth="1"/>
    <col min="369" max="369" width="1.453125" style="2" customWidth="1"/>
    <col min="370" max="370" width="10.54296875" style="61" customWidth="1"/>
    <col min="371" max="371" width="1.453125" style="2" bestFit="1" customWidth="1"/>
    <col min="372" max="372" width="11.453125" style="2" customWidth="1" outlineLevel="1"/>
    <col min="373" max="373" width="2.1796875" style="2" customWidth="1" outlineLevel="1"/>
    <col min="374" max="374" width="10.54296875" style="2" bestFit="1" customWidth="1" outlineLevel="1"/>
    <col min="375" max="375" width="1" style="2" customWidth="1"/>
    <col min="376" max="376" width="12.453125" style="2" customWidth="1"/>
    <col min="377" max="378" width="9.1796875" style="4"/>
    <col min="379" max="379" width="24.453125" style="4" customWidth="1"/>
    <col min="380" max="380" width="11.453125" style="3" bestFit="1" customWidth="1"/>
    <col min="381" max="381" width="0.81640625" style="3" customWidth="1"/>
    <col min="382" max="382" width="11.1796875" style="2" customWidth="1"/>
    <col min="383" max="383" width="1.54296875" style="2" customWidth="1"/>
    <col min="384" max="384" width="11.54296875" style="2" customWidth="1"/>
    <col min="385" max="385" width="1.453125" style="2" customWidth="1"/>
    <col min="386" max="386" width="10.54296875" style="2" bestFit="1" customWidth="1"/>
    <col min="387" max="387" width="2.1796875" style="2" customWidth="1"/>
    <col min="388" max="388" width="10.54296875" style="2" bestFit="1" customWidth="1"/>
    <col min="389" max="389" width="1" style="2" customWidth="1"/>
    <col min="390" max="390" width="11.453125" style="2" bestFit="1" customWidth="1"/>
    <col min="391" max="391" width="5.54296875" style="4" customWidth="1"/>
    <col min="392" max="392" width="24.453125" style="4" customWidth="1"/>
    <col min="393" max="393" width="11.453125" style="3" bestFit="1" customWidth="1"/>
    <col min="394" max="394" width="0.81640625" style="3" customWidth="1"/>
    <col min="395" max="395" width="11.453125" style="2" bestFit="1" customWidth="1"/>
    <col min="396" max="396" width="1.453125" style="2" customWidth="1"/>
    <col min="397" max="397" width="12" style="2" customWidth="1"/>
    <col min="398" max="398" width="1.453125" style="2" bestFit="1" customWidth="1"/>
    <col min="399" max="399" width="10.54296875" style="2" bestFit="1" customWidth="1"/>
    <col min="400" max="400" width="2.1796875" style="2" customWidth="1"/>
    <col min="401" max="401" width="12.453125" style="2" customWidth="1"/>
    <col min="402" max="402" width="1" style="2" customWidth="1"/>
    <col min="403" max="403" width="13.54296875" style="2" customWidth="1"/>
    <col min="404" max="404" width="3.1796875" style="4" customWidth="1"/>
    <col min="405" max="405" width="24.1796875" style="4" customWidth="1"/>
    <col min="406" max="406" width="11.453125" style="3" bestFit="1" customWidth="1"/>
    <col min="407" max="407" width="0.81640625" style="3" customWidth="1"/>
    <col min="408" max="408" width="11.453125" style="2" bestFit="1" customWidth="1"/>
    <col min="409" max="409" width="2.81640625" style="2" customWidth="1"/>
    <col min="410" max="410" width="12.1796875" style="2" customWidth="1"/>
    <col min="411" max="411" width="1.81640625" style="2" customWidth="1"/>
    <col min="412" max="412" width="11.54296875" style="2" customWidth="1"/>
    <col min="413" max="413" width="2.1796875" style="2" customWidth="1"/>
    <col min="414" max="414" width="10.54296875" style="2" bestFit="1" customWidth="1"/>
    <col min="415" max="415" width="1" style="2" customWidth="1"/>
    <col min="416" max="416" width="11.453125" style="2" bestFit="1" customWidth="1"/>
    <col min="417" max="417" width="2.54296875" style="4" customWidth="1"/>
    <col min="418" max="418" width="24.453125" style="4" customWidth="1"/>
    <col min="419" max="419" width="11.453125" style="3" bestFit="1" customWidth="1"/>
    <col min="420" max="420" width="0.81640625" style="3" customWidth="1"/>
    <col min="421" max="421" width="11.453125" style="2" bestFit="1" customWidth="1"/>
    <col min="422" max="422" width="2.81640625" style="2" customWidth="1"/>
    <col min="423" max="423" width="10.54296875" style="2" customWidth="1"/>
    <col min="424" max="424" width="1.81640625" style="2" customWidth="1"/>
    <col min="425" max="425" width="12.54296875" style="2" customWidth="1" outlineLevel="1"/>
    <col min="426" max="426" width="2.1796875" style="2" customWidth="1" outlineLevel="1"/>
    <col min="427" max="427" width="10.54296875" style="2" bestFit="1" customWidth="1" outlineLevel="1"/>
    <col min="428" max="428" width="1" style="2" customWidth="1"/>
    <col min="429" max="429" width="11.453125" style="2" bestFit="1" customWidth="1"/>
    <col min="430" max="430" width="2.54296875" style="4" customWidth="1"/>
    <col min="431" max="431" width="24.453125" style="4" customWidth="1"/>
    <col min="432" max="432" width="11.453125" style="3" bestFit="1" customWidth="1"/>
    <col min="433" max="433" width="0.81640625" style="3" customWidth="1"/>
    <col min="434" max="434" width="11.453125" style="2" bestFit="1" customWidth="1"/>
    <col min="435" max="435" width="2.81640625" style="2" customWidth="1"/>
    <col min="436" max="436" width="10.54296875" style="2" customWidth="1"/>
    <col min="437" max="437" width="1.81640625" style="2" customWidth="1"/>
    <col min="438" max="438" width="10.54296875" style="2" bestFit="1" customWidth="1" outlineLevel="1"/>
    <col min="439" max="439" width="2.1796875" style="2" customWidth="1" outlineLevel="1"/>
    <col min="440" max="440" width="10.54296875" style="2" bestFit="1" customWidth="1" outlineLevel="1"/>
    <col min="441" max="441" width="1" style="2" customWidth="1"/>
    <col min="442" max="442" width="11.453125" style="2" bestFit="1" customWidth="1"/>
    <col min="443" max="443" width="2.54296875" style="4" customWidth="1"/>
    <col min="444" max="444" width="24.453125" style="4" customWidth="1"/>
    <col min="445" max="445" width="11.453125" style="3" bestFit="1" customWidth="1"/>
    <col min="446" max="446" width="0.81640625" style="3" customWidth="1"/>
    <col min="447" max="447" width="11.453125" style="2" bestFit="1" customWidth="1"/>
    <col min="448" max="448" width="2.81640625" style="2" customWidth="1"/>
    <col min="449" max="449" width="10.54296875" style="2" customWidth="1"/>
    <col min="450" max="450" width="1.81640625" style="2" customWidth="1"/>
    <col min="451" max="451" width="10.54296875" style="2" customWidth="1" outlineLevel="1"/>
    <col min="452" max="452" width="2.1796875" style="2" customWidth="1" outlineLevel="1"/>
    <col min="453" max="453" width="10.54296875" style="2" customWidth="1" outlineLevel="1"/>
    <col min="454" max="454" width="1" style="2" customWidth="1"/>
    <col min="455" max="455" width="11.453125" style="2" bestFit="1" customWidth="1"/>
    <col min="456" max="456" width="2.54296875" style="4" customWidth="1"/>
    <col min="457" max="457" width="24.453125" style="4" customWidth="1"/>
    <col min="458" max="458" width="11.453125" style="3" bestFit="1" customWidth="1"/>
    <col min="459" max="459" width="0.81640625" style="3" customWidth="1"/>
    <col min="460" max="460" width="11.453125" style="2" bestFit="1" customWidth="1"/>
    <col min="461" max="461" width="2.81640625" style="2" customWidth="1"/>
    <col min="462" max="462" width="10.54296875" style="2" customWidth="1"/>
    <col min="463" max="463" width="1.81640625" style="2" customWidth="1"/>
    <col min="464" max="464" width="10.54296875" style="2" customWidth="1" outlineLevel="1"/>
    <col min="465" max="465" width="2.1796875" style="2" customWidth="1" outlineLevel="1"/>
    <col min="466" max="466" width="10.54296875" style="2" customWidth="1" outlineLevel="1"/>
    <col min="467" max="467" width="1" style="2" customWidth="1"/>
    <col min="468" max="468" width="11.453125" style="2" bestFit="1" customWidth="1"/>
    <col min="469" max="469" width="2.54296875" style="4" customWidth="1"/>
    <col min="470" max="470" width="24.453125" style="4" customWidth="1"/>
    <col min="471" max="471" width="11.453125" style="3" bestFit="1" customWidth="1"/>
    <col min="472" max="472" width="0.81640625" style="3" customWidth="1"/>
    <col min="473" max="473" width="11.453125" style="2" bestFit="1" customWidth="1"/>
    <col min="474" max="474" width="2.81640625" style="2" customWidth="1"/>
    <col min="475" max="475" width="10.54296875" style="2" customWidth="1"/>
    <col min="476" max="476" width="1.81640625" style="2" customWidth="1"/>
    <col min="477" max="477" width="10.54296875" style="2" hidden="1" customWidth="1" outlineLevel="1"/>
    <col min="478" max="478" width="2.1796875" style="2" hidden="1" customWidth="1" outlineLevel="1"/>
    <col min="479" max="479" width="10.54296875" style="2" hidden="1" customWidth="1" outlineLevel="1"/>
    <col min="480" max="480" width="1" style="2" customWidth="1" collapsed="1"/>
    <col min="481" max="481" width="11.453125" style="2" bestFit="1" customWidth="1"/>
    <col min="482" max="482" width="2.54296875" style="4" customWidth="1"/>
    <col min="483" max="483" width="24.453125" style="4" customWidth="1"/>
    <col min="484" max="484" width="11.453125" style="3" bestFit="1" customWidth="1"/>
    <col min="485" max="485" width="0.81640625" style="3" customWidth="1"/>
    <col min="486" max="486" width="11.453125" style="2" bestFit="1" customWidth="1"/>
    <col min="487" max="487" width="2.81640625" style="2" customWidth="1"/>
    <col min="488" max="488" width="10.54296875" style="2" customWidth="1"/>
    <col min="489" max="489" width="1.81640625" style="2" customWidth="1"/>
    <col min="490" max="490" width="10.54296875" style="2" bestFit="1" customWidth="1" outlineLevel="1"/>
    <col min="491" max="491" width="2.1796875" style="2" customWidth="1" outlineLevel="1"/>
    <col min="492" max="492" width="10.54296875" style="2" bestFit="1" customWidth="1" outlineLevel="1"/>
    <col min="493" max="493" width="1" style="2" customWidth="1"/>
    <col min="494" max="494" width="11.453125" style="2" bestFit="1" customWidth="1"/>
    <col min="495" max="495" width="2.54296875" style="4" customWidth="1"/>
    <col min="496" max="496" width="24.453125" style="4" customWidth="1"/>
    <col min="497" max="497" width="11.453125" style="3" bestFit="1" customWidth="1"/>
    <col min="498" max="498" width="0.81640625" style="3" customWidth="1"/>
    <col min="499" max="499" width="11.453125" style="2" bestFit="1" customWidth="1"/>
    <col min="500" max="500" width="2.81640625" style="2" customWidth="1"/>
    <col min="501" max="501" width="10.54296875" style="2" customWidth="1"/>
    <col min="502" max="502" width="1.81640625" style="2" customWidth="1"/>
    <col min="503" max="503" width="10.54296875" style="2" bestFit="1" customWidth="1" outlineLevel="1"/>
    <col min="504" max="504" width="2.1796875" style="2" customWidth="1" outlineLevel="1"/>
    <col min="505" max="505" width="10.54296875" style="2" bestFit="1" customWidth="1" outlineLevel="1"/>
    <col min="506" max="506" width="1" style="2" customWidth="1"/>
    <col min="507" max="507" width="11.453125" style="2" bestFit="1" customWidth="1"/>
    <col min="508" max="508" width="2.54296875" style="4" customWidth="1"/>
    <col min="509" max="509" width="24.453125" style="4" customWidth="1"/>
    <col min="510" max="510" width="11.453125" style="3" bestFit="1" customWidth="1"/>
    <col min="511" max="511" width="0.81640625" style="3" customWidth="1"/>
    <col min="512" max="512" width="11.453125" style="2" bestFit="1" customWidth="1"/>
    <col min="513" max="513" width="2.81640625" style="2" customWidth="1"/>
    <col min="514" max="514" width="10.54296875" style="2" customWidth="1"/>
    <col min="515" max="515" width="1.81640625" style="2" customWidth="1"/>
    <col min="516" max="516" width="10.54296875" style="2" bestFit="1" customWidth="1" outlineLevel="1"/>
    <col min="517" max="517" width="2.1796875" style="2" customWidth="1" outlineLevel="1"/>
    <col min="518" max="518" width="10.54296875" style="2" bestFit="1" customWidth="1" outlineLevel="1"/>
    <col min="519" max="519" width="1" style="2" customWidth="1"/>
    <col min="520" max="520" width="11.453125" style="2" bestFit="1" customWidth="1"/>
    <col min="521" max="521" width="2.54296875" style="4" customWidth="1"/>
    <col min="522" max="522" width="24.453125" style="4" customWidth="1"/>
    <col min="523" max="523" width="11.453125" style="3" bestFit="1" customWidth="1"/>
    <col min="524" max="524" width="0.81640625" style="3" customWidth="1"/>
    <col min="525" max="525" width="11.453125" style="2" bestFit="1" customWidth="1"/>
    <col min="526" max="526" width="2.81640625" style="2" customWidth="1"/>
    <col min="527" max="527" width="10.54296875" style="2" customWidth="1"/>
    <col min="528" max="528" width="1.81640625" style="2" customWidth="1"/>
    <col min="529" max="529" width="10.54296875" style="2" bestFit="1" customWidth="1" outlineLevel="1"/>
    <col min="530" max="530" width="2.1796875" style="2" customWidth="1" outlineLevel="1"/>
    <col min="531" max="531" width="10.54296875" style="2" bestFit="1" customWidth="1" outlineLevel="1"/>
    <col min="532" max="532" width="1" style="2" customWidth="1"/>
    <col min="533" max="533" width="11.453125" style="2" bestFit="1" customWidth="1"/>
    <col min="534" max="534" width="3.81640625" style="4" customWidth="1"/>
    <col min="535" max="535" width="24.453125" style="4" customWidth="1"/>
    <col min="536" max="536" width="11.453125" style="3" bestFit="1" customWidth="1"/>
    <col min="537" max="537" width="0.81640625" style="3" customWidth="1"/>
    <col min="538" max="538" width="11.453125" style="2" bestFit="1" customWidth="1"/>
    <col min="539" max="539" width="1.81640625" style="2" customWidth="1"/>
    <col min="540" max="540" width="10.54296875" style="2" customWidth="1"/>
    <col min="541" max="541" width="1.81640625" style="2" customWidth="1"/>
    <col min="542" max="542" width="10.54296875" style="2" bestFit="1" customWidth="1" outlineLevel="1"/>
    <col min="543" max="543" width="2.1796875" style="2" customWidth="1" outlineLevel="1"/>
    <col min="544" max="544" width="10.54296875" style="2" bestFit="1" customWidth="1" outlineLevel="1"/>
    <col min="545" max="545" width="1" style="2" customWidth="1"/>
    <col min="546" max="546" width="11.453125" style="2" bestFit="1" customWidth="1"/>
    <col min="547" max="547" width="3.81640625" style="4" customWidth="1"/>
    <col min="548" max="548" width="24.453125" style="4" customWidth="1"/>
    <col min="549" max="549" width="11.453125" style="3" bestFit="1" customWidth="1"/>
    <col min="550" max="550" width="0.81640625" style="3" customWidth="1"/>
    <col min="551" max="551" width="11.453125" style="2" bestFit="1" customWidth="1"/>
    <col min="552" max="552" width="2.81640625" style="2" customWidth="1"/>
    <col min="553" max="553" width="10.54296875" style="2" customWidth="1"/>
    <col min="554" max="554" width="1.81640625" style="2" customWidth="1"/>
    <col min="555" max="555" width="10.54296875" style="2" bestFit="1" customWidth="1" outlineLevel="1"/>
    <col min="556" max="556" width="2.1796875" style="2" customWidth="1" outlineLevel="1"/>
    <col min="557" max="557" width="10.54296875" style="2" bestFit="1" customWidth="1" outlineLevel="1"/>
    <col min="558" max="558" width="1" style="2" customWidth="1"/>
    <col min="559" max="559" width="11.453125" style="2" bestFit="1" customWidth="1"/>
    <col min="560" max="560" width="2.54296875" style="4" customWidth="1"/>
    <col min="561" max="561" width="24.453125" style="4" customWidth="1"/>
    <col min="562" max="562" width="11.453125" style="3" bestFit="1" customWidth="1"/>
    <col min="563" max="563" width="0.81640625" style="3" customWidth="1"/>
    <col min="564" max="564" width="11.453125" style="2" bestFit="1" customWidth="1"/>
    <col min="565" max="565" width="2.81640625" style="2" customWidth="1"/>
    <col min="566" max="566" width="10.54296875" style="2" customWidth="1"/>
    <col min="567" max="567" width="1.81640625" style="2" customWidth="1"/>
    <col min="568" max="568" width="10.54296875" style="2" bestFit="1" customWidth="1" outlineLevel="1"/>
    <col min="569" max="569" width="2.1796875" style="2" customWidth="1" outlineLevel="1"/>
    <col min="570" max="570" width="10.54296875" style="2" bestFit="1" customWidth="1" outlineLevel="1"/>
    <col min="571" max="571" width="1" style="2" customWidth="1"/>
    <col min="572" max="572" width="11.453125" style="2" bestFit="1" customWidth="1"/>
    <col min="573" max="573" width="2.54296875" style="4" customWidth="1"/>
    <col min="574" max="574" width="24.453125" style="4" customWidth="1"/>
    <col min="575" max="575" width="11.453125" style="3" bestFit="1" customWidth="1"/>
    <col min="576" max="576" width="0.81640625" style="3" customWidth="1"/>
    <col min="577" max="577" width="11.453125" style="2" bestFit="1" customWidth="1"/>
    <col min="578" max="578" width="2.81640625" style="2" customWidth="1"/>
    <col min="579" max="579" width="10.54296875" style="2" customWidth="1"/>
    <col min="580" max="580" width="1.81640625" style="2" customWidth="1"/>
    <col min="581" max="581" width="10.54296875" style="2" bestFit="1" customWidth="1" outlineLevel="1"/>
    <col min="582" max="582" width="2.1796875" style="2" customWidth="1" outlineLevel="1"/>
    <col min="583" max="583" width="10.54296875" style="2" bestFit="1" customWidth="1" outlineLevel="1"/>
    <col min="584" max="584" width="1" style="2" customWidth="1"/>
    <col min="585" max="585" width="11.453125" style="2" bestFit="1" customWidth="1"/>
    <col min="586" max="586" width="3.81640625" style="4" customWidth="1"/>
    <col min="587" max="587" width="24.453125" style="4" customWidth="1"/>
    <col min="588" max="588" width="11.453125" style="3" bestFit="1" customWidth="1"/>
    <col min="589" max="589" width="0.81640625" style="3" customWidth="1"/>
    <col min="590" max="590" width="11.453125" style="2" bestFit="1" customWidth="1"/>
    <col min="591" max="591" width="1.81640625" style="2" customWidth="1"/>
    <col min="592" max="592" width="10.54296875" style="2" customWidth="1"/>
    <col min="593" max="593" width="1.81640625" style="2" customWidth="1"/>
    <col min="594" max="594" width="10.54296875" style="2" bestFit="1" customWidth="1" outlineLevel="1"/>
    <col min="595" max="595" width="2.1796875" style="2" customWidth="1" outlineLevel="1"/>
    <col min="596" max="596" width="10.54296875" style="2" bestFit="1" customWidth="1" outlineLevel="1"/>
    <col min="597" max="597" width="1" style="2" customWidth="1"/>
    <col min="598" max="598" width="11.453125" style="2" bestFit="1" customWidth="1"/>
    <col min="599" max="599" width="3.81640625" style="4" customWidth="1"/>
    <col min="600" max="600" width="24.453125" style="4" customWidth="1"/>
    <col min="601" max="601" width="11.453125" style="3" bestFit="1" customWidth="1"/>
    <col min="602" max="602" width="0.81640625" style="3" customWidth="1"/>
    <col min="603" max="603" width="11.453125" style="2" bestFit="1" customWidth="1"/>
    <col min="604" max="604" width="1" style="2" hidden="1" customWidth="1"/>
    <col min="605" max="605" width="10.54296875" style="2" customWidth="1"/>
    <col min="606" max="606" width="1" style="2" customWidth="1"/>
    <col min="607" max="607" width="10.54296875" style="2" customWidth="1" outlineLevel="1"/>
    <col min="608" max="608" width="1" style="2" customWidth="1" outlineLevel="1"/>
    <col min="609" max="609" width="10.54296875" style="2" bestFit="1" customWidth="1" outlineLevel="1"/>
    <col min="610" max="610" width="1" style="2" customWidth="1"/>
    <col min="611" max="611" width="11.54296875" style="2" customWidth="1"/>
    <col min="612" max="612" width="3.1796875" style="4" customWidth="1"/>
    <col min="613" max="613" width="24.453125" style="4" customWidth="1"/>
    <col min="614" max="614" width="11.81640625" style="3" customWidth="1"/>
    <col min="615" max="615" width="0.81640625" style="3" customWidth="1"/>
    <col min="616" max="616" width="11.453125" style="2" bestFit="1" customWidth="1"/>
    <col min="617" max="617" width="1" style="2" hidden="1" customWidth="1"/>
    <col min="618" max="618" width="10.54296875" style="2" customWidth="1"/>
    <col min="619" max="619" width="1" style="2" customWidth="1"/>
    <col min="620" max="620" width="10.54296875" style="2" customWidth="1" outlineLevel="1"/>
    <col min="621" max="621" width="1" style="2" customWidth="1" outlineLevel="1"/>
    <col min="622" max="622" width="10.54296875" style="2" customWidth="1" outlineLevel="1"/>
    <col min="623" max="623" width="1" style="2" customWidth="1"/>
    <col min="624" max="624" width="12" style="2" customWidth="1"/>
    <col min="625" max="625" width="3.1796875" style="4" customWidth="1"/>
    <col min="626" max="626" width="24.453125" style="4" customWidth="1"/>
    <col min="627" max="627" width="11.453125" style="3" bestFit="1" customWidth="1"/>
    <col min="628" max="628" width="0.81640625" style="3" customWidth="1"/>
    <col min="629" max="629" width="11.453125" style="2" bestFit="1" customWidth="1"/>
    <col min="630" max="630" width="2.81640625" style="2" customWidth="1"/>
    <col min="631" max="631" width="10.54296875" style="2" customWidth="1"/>
    <col min="632" max="632" width="1.81640625" style="2" customWidth="1"/>
    <col min="633" max="633" width="10.54296875" style="2" bestFit="1" customWidth="1" outlineLevel="1"/>
    <col min="634" max="634" width="2.1796875" style="2" customWidth="1" outlineLevel="1"/>
    <col min="635" max="635" width="10.54296875" style="2" bestFit="1" customWidth="1" outlineLevel="1"/>
    <col min="636" max="636" width="1" style="2" customWidth="1"/>
    <col min="637" max="637" width="11.453125" style="2" bestFit="1" customWidth="1"/>
    <col min="638" max="638" width="3.453125" style="4" customWidth="1"/>
    <col min="639" max="639" width="24.453125" style="4" customWidth="1"/>
    <col min="640" max="640" width="11.453125" style="3" bestFit="1" customWidth="1"/>
    <col min="641" max="641" width="0.81640625" style="3" customWidth="1"/>
    <col min="642" max="642" width="11.453125" style="2" bestFit="1" customWidth="1"/>
    <col min="643" max="643" width="2.81640625" style="2" customWidth="1"/>
    <col min="644" max="644" width="10.54296875" style="2" customWidth="1"/>
    <col min="645" max="645" width="1.81640625" style="2" customWidth="1"/>
    <col min="646" max="646" width="10.54296875" style="2" bestFit="1" customWidth="1" outlineLevel="1"/>
    <col min="647" max="647" width="2.1796875" style="2" customWidth="1" outlineLevel="1"/>
    <col min="648" max="648" width="10.54296875" style="2" bestFit="1" customWidth="1" outlineLevel="1"/>
    <col min="649" max="649" width="1" style="2" customWidth="1"/>
    <col min="650" max="650" width="11.453125" style="2" bestFit="1" customWidth="1"/>
    <col min="651" max="651" width="3.453125" style="4" customWidth="1"/>
    <col min="652" max="652" width="24.453125" style="4" customWidth="1"/>
    <col min="653" max="653" width="11.453125" style="3" bestFit="1" customWidth="1"/>
    <col min="654" max="654" width="0.81640625" style="3" customWidth="1"/>
    <col min="655" max="655" width="11.453125" style="2" bestFit="1" customWidth="1"/>
    <col min="656" max="656" width="2.81640625" style="2" customWidth="1"/>
    <col min="657" max="657" width="10.54296875" style="2" customWidth="1"/>
    <col min="658" max="658" width="1.81640625" style="2" customWidth="1"/>
    <col min="659" max="659" width="10.54296875" style="2" bestFit="1" customWidth="1" outlineLevel="1"/>
    <col min="660" max="660" width="2.1796875" style="2" customWidth="1" outlineLevel="1"/>
    <col min="661" max="661" width="10.54296875" style="2" bestFit="1" customWidth="1" outlineLevel="1"/>
    <col min="662" max="662" width="1" style="2" customWidth="1"/>
    <col min="663" max="663" width="11.453125" style="2" bestFit="1" customWidth="1"/>
    <col min="664" max="664" width="3.453125" style="4" customWidth="1"/>
    <col min="665" max="665" width="24.453125" style="4" customWidth="1"/>
    <col min="666" max="666" width="11.453125" style="3" bestFit="1" customWidth="1"/>
    <col min="667" max="667" width="0.81640625" style="3" customWidth="1"/>
    <col min="668" max="668" width="10.453125" style="2" customWidth="1"/>
    <col min="669" max="669" width="1" style="2" hidden="1" customWidth="1"/>
    <col min="670" max="670" width="11.453125" style="2" bestFit="1" customWidth="1"/>
    <col min="671" max="671" width="1.453125" style="2" bestFit="1" customWidth="1"/>
    <col min="672" max="672" width="10.54296875" style="2" customWidth="1"/>
    <col min="673" max="673" width="1" style="2" customWidth="1"/>
    <col min="674" max="674" width="10.54296875" style="2" bestFit="1" customWidth="1"/>
    <col min="675" max="675" width="2" style="2" customWidth="1"/>
    <col min="676" max="676" width="11.453125" style="2" bestFit="1" customWidth="1"/>
    <col min="677" max="895" width="9.1796875" style="4" customWidth="1"/>
    <col min="896" max="16384" width="9.1796875" style="4"/>
  </cols>
  <sheetData>
    <row r="1" spans="1:676" ht="11.25" customHeight="1">
      <c r="UB1" s="4" t="s">
        <v>67</v>
      </c>
    </row>
    <row r="2" spans="1:676" ht="13">
      <c r="B2" s="174" t="s">
        <v>125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R2" s="174" t="s">
        <v>124</v>
      </c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H2" s="174" t="s">
        <v>123</v>
      </c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X2" s="174" t="s">
        <v>129</v>
      </c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N2" s="174" t="s">
        <v>130</v>
      </c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D2" s="174" t="s">
        <v>131</v>
      </c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T2" s="174" t="s">
        <v>132</v>
      </c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J2" s="174" t="s">
        <v>133</v>
      </c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Z2" s="174" t="s">
        <v>117</v>
      </c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N2" s="174" t="s">
        <v>118</v>
      </c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FB2" s="174" t="s">
        <v>119</v>
      </c>
      <c r="FC2" s="174"/>
      <c r="FD2" s="174"/>
      <c r="FE2" s="174"/>
      <c r="FF2" s="174"/>
      <c r="FG2" s="174"/>
      <c r="FH2" s="174"/>
      <c r="FI2" s="174"/>
      <c r="FJ2" s="174"/>
      <c r="FK2" s="174"/>
      <c r="FL2" s="174"/>
      <c r="FP2" s="174" t="s">
        <v>120</v>
      </c>
      <c r="FQ2" s="174"/>
      <c r="FR2" s="174"/>
      <c r="FS2" s="174"/>
      <c r="FT2" s="174"/>
      <c r="FU2" s="174"/>
      <c r="FV2" s="174"/>
      <c r="FW2" s="174"/>
      <c r="FX2" s="174"/>
      <c r="FY2" s="174"/>
      <c r="FZ2" s="174"/>
      <c r="GD2" s="174" t="s">
        <v>115</v>
      </c>
      <c r="GE2" s="174"/>
      <c r="GF2" s="174"/>
      <c r="GG2" s="174"/>
      <c r="GH2" s="174"/>
      <c r="GI2" s="174"/>
      <c r="GJ2" s="174"/>
      <c r="GK2" s="174"/>
      <c r="GL2" s="174"/>
      <c r="GM2" s="174"/>
      <c r="GN2" s="174"/>
      <c r="GR2" s="174" t="s">
        <v>114</v>
      </c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F2" s="174" t="s">
        <v>113</v>
      </c>
      <c r="HG2" s="174"/>
      <c r="HH2" s="174"/>
      <c r="HI2" s="174"/>
      <c r="HJ2" s="174"/>
      <c r="HK2" s="174"/>
      <c r="HL2" s="174"/>
      <c r="HM2" s="174"/>
      <c r="HN2" s="174"/>
      <c r="HO2" s="174"/>
      <c r="HP2" s="174"/>
      <c r="HT2" s="174" t="s">
        <v>112</v>
      </c>
      <c r="HU2" s="174"/>
      <c r="HV2" s="174"/>
      <c r="HW2" s="174"/>
      <c r="HX2" s="174"/>
      <c r="HY2" s="174"/>
      <c r="HZ2" s="174"/>
      <c r="IA2" s="174"/>
      <c r="IB2" s="174"/>
      <c r="IC2" s="174"/>
      <c r="ID2" s="174"/>
      <c r="IH2" s="174" t="s">
        <v>109</v>
      </c>
      <c r="II2" s="174"/>
      <c r="IJ2" s="174"/>
      <c r="IK2" s="174"/>
      <c r="IL2" s="174"/>
      <c r="IM2" s="174"/>
      <c r="IN2" s="174"/>
      <c r="IO2" s="174"/>
      <c r="IP2" s="174"/>
      <c r="IQ2" s="174"/>
      <c r="IR2" s="174"/>
      <c r="IV2" s="174" t="s">
        <v>108</v>
      </c>
      <c r="IW2" s="174"/>
      <c r="IX2" s="174"/>
      <c r="IY2" s="174"/>
      <c r="IZ2" s="174"/>
      <c r="JA2" s="174"/>
      <c r="JB2" s="174"/>
      <c r="JC2" s="174"/>
      <c r="JD2" s="174"/>
      <c r="JE2" s="174"/>
      <c r="JF2" s="174"/>
      <c r="JJ2" s="174" t="s">
        <v>107</v>
      </c>
      <c r="JK2" s="174"/>
      <c r="JL2" s="174"/>
      <c r="JM2" s="174"/>
      <c r="JN2" s="174"/>
      <c r="JO2" s="174"/>
      <c r="JP2" s="174"/>
      <c r="JQ2" s="174"/>
      <c r="JR2" s="174"/>
      <c r="JS2" s="174"/>
      <c r="JT2" s="174"/>
      <c r="JX2" s="174" t="s">
        <v>106</v>
      </c>
      <c r="JY2" s="174"/>
      <c r="JZ2" s="174"/>
      <c r="KA2" s="174"/>
      <c r="KB2" s="174"/>
      <c r="KC2" s="174"/>
      <c r="KD2" s="174"/>
      <c r="KE2" s="174"/>
      <c r="KF2" s="174"/>
      <c r="KG2" s="174"/>
      <c r="KH2" s="174"/>
      <c r="KL2" s="174" t="s">
        <v>104</v>
      </c>
      <c r="KM2" s="174"/>
      <c r="KN2" s="174"/>
      <c r="KO2" s="174"/>
      <c r="KP2" s="174"/>
      <c r="KQ2" s="174"/>
      <c r="KR2" s="174"/>
      <c r="KS2" s="174"/>
      <c r="KT2" s="174"/>
      <c r="KU2" s="174"/>
      <c r="KV2" s="174"/>
      <c r="KZ2" s="174" t="s">
        <v>103</v>
      </c>
      <c r="LA2" s="174"/>
      <c r="LB2" s="174"/>
      <c r="LC2" s="174"/>
      <c r="LD2" s="174"/>
      <c r="LE2" s="174"/>
      <c r="LF2" s="174"/>
      <c r="LG2" s="174"/>
      <c r="LH2" s="174"/>
      <c r="LI2" s="174"/>
      <c r="LJ2" s="174"/>
      <c r="LN2" s="174" t="s">
        <v>102</v>
      </c>
      <c r="LO2" s="174"/>
      <c r="LP2" s="174"/>
      <c r="LQ2" s="174"/>
      <c r="LR2" s="174"/>
      <c r="LS2" s="174"/>
      <c r="LT2" s="174"/>
      <c r="LU2" s="174"/>
      <c r="LV2" s="174"/>
      <c r="LW2" s="174"/>
      <c r="LX2" s="174"/>
      <c r="MA2" s="174" t="s">
        <v>101</v>
      </c>
      <c r="MB2" s="174"/>
      <c r="MC2" s="174"/>
      <c r="MD2" s="174"/>
      <c r="ME2" s="174"/>
      <c r="MF2" s="175"/>
      <c r="MG2" s="174"/>
      <c r="MH2" s="174"/>
      <c r="MI2" s="174"/>
      <c r="MJ2" s="174"/>
      <c r="MK2" s="174"/>
      <c r="ML2" s="66"/>
      <c r="MN2" s="174" t="s">
        <v>97</v>
      </c>
      <c r="MO2" s="174"/>
      <c r="MP2" s="174"/>
      <c r="MQ2" s="174"/>
      <c r="MR2" s="174"/>
      <c r="MS2" s="174"/>
      <c r="MT2" s="174"/>
      <c r="MU2" s="174"/>
      <c r="MV2" s="174"/>
      <c r="MW2" s="174"/>
      <c r="MX2" s="174"/>
      <c r="NB2" s="174" t="s">
        <v>96</v>
      </c>
      <c r="NC2" s="174"/>
      <c r="ND2" s="174"/>
      <c r="NE2" s="174"/>
      <c r="NF2" s="174"/>
      <c r="NG2" s="174"/>
      <c r="NH2" s="174"/>
      <c r="NI2" s="174"/>
      <c r="NJ2" s="174"/>
      <c r="NK2" s="174"/>
      <c r="NL2" s="174"/>
      <c r="NP2" s="174" t="s">
        <v>95</v>
      </c>
      <c r="NQ2" s="174"/>
      <c r="NR2" s="174"/>
      <c r="NS2" s="174"/>
      <c r="NT2" s="174"/>
      <c r="NU2" s="174"/>
      <c r="NV2" s="174"/>
      <c r="NW2" s="174"/>
      <c r="NX2" s="174"/>
      <c r="NY2" s="174"/>
      <c r="NZ2" s="174"/>
      <c r="OC2" s="174" t="s">
        <v>94</v>
      </c>
      <c r="OD2" s="174"/>
      <c r="OE2" s="174"/>
      <c r="OF2" s="174"/>
      <c r="OG2" s="174"/>
      <c r="OH2" s="175"/>
      <c r="OI2" s="174"/>
      <c r="OJ2" s="174"/>
      <c r="OK2" s="174"/>
      <c r="OL2" s="174"/>
      <c r="OM2" s="174"/>
      <c r="OP2" s="174" t="s">
        <v>83</v>
      </c>
      <c r="OQ2" s="174"/>
      <c r="OR2" s="174"/>
      <c r="OS2" s="174"/>
      <c r="OT2" s="174"/>
      <c r="OU2" s="174"/>
      <c r="OV2" s="174"/>
      <c r="OW2" s="174"/>
      <c r="OX2" s="174"/>
      <c r="OY2" s="174"/>
      <c r="OZ2" s="174"/>
      <c r="PA2" s="28"/>
      <c r="PC2" s="174" t="s">
        <v>85</v>
      </c>
      <c r="PD2" s="174"/>
      <c r="PE2" s="174"/>
      <c r="PF2" s="174"/>
      <c r="PG2" s="174"/>
      <c r="PH2" s="174"/>
      <c r="PI2" s="174"/>
      <c r="PJ2" s="174"/>
      <c r="PK2" s="174"/>
      <c r="PL2" s="174"/>
      <c r="PM2" s="174"/>
      <c r="PN2" s="28"/>
      <c r="PP2" s="174" t="s">
        <v>86</v>
      </c>
      <c r="PQ2" s="174"/>
      <c r="PR2" s="174"/>
      <c r="PS2" s="174"/>
      <c r="PT2" s="174"/>
      <c r="PU2" s="174"/>
      <c r="PV2" s="174"/>
      <c r="PW2" s="174"/>
      <c r="PX2" s="174"/>
      <c r="PY2" s="174"/>
      <c r="PZ2" s="174"/>
      <c r="QA2" s="28"/>
      <c r="QC2" s="174" t="s">
        <v>87</v>
      </c>
      <c r="QD2" s="174"/>
      <c r="QE2" s="174"/>
      <c r="QF2" s="174"/>
      <c r="QG2" s="174"/>
      <c r="QH2" s="174"/>
      <c r="QI2" s="174"/>
      <c r="QJ2" s="174"/>
      <c r="QK2" s="174"/>
      <c r="QL2" s="174"/>
      <c r="QM2" s="174"/>
      <c r="QN2" s="28"/>
      <c r="QP2" s="174" t="s">
        <v>88</v>
      </c>
      <c r="QQ2" s="174"/>
      <c r="QR2" s="174"/>
      <c r="QS2" s="174"/>
      <c r="QT2" s="174"/>
      <c r="QU2" s="174"/>
      <c r="QV2" s="174"/>
      <c r="QW2" s="174"/>
      <c r="QX2" s="174"/>
      <c r="QY2" s="174"/>
      <c r="QZ2" s="174"/>
      <c r="RA2" s="28"/>
      <c r="RC2" s="174" t="s">
        <v>89</v>
      </c>
      <c r="RD2" s="174"/>
      <c r="RE2" s="174"/>
      <c r="RF2" s="174"/>
      <c r="RG2" s="174"/>
      <c r="RH2" s="174"/>
      <c r="RI2" s="174"/>
      <c r="RJ2" s="174"/>
      <c r="RK2" s="174"/>
      <c r="RL2" s="174"/>
      <c r="RM2" s="174"/>
      <c r="RN2" s="28"/>
      <c r="RP2" s="174" t="s">
        <v>90</v>
      </c>
      <c r="RQ2" s="174"/>
      <c r="RR2" s="174"/>
      <c r="RS2" s="174"/>
      <c r="RT2" s="174"/>
      <c r="RU2" s="174"/>
      <c r="RV2" s="174"/>
      <c r="RW2" s="174"/>
      <c r="RX2" s="174"/>
      <c r="RY2" s="174"/>
      <c r="RZ2" s="174"/>
      <c r="SA2" s="28"/>
      <c r="SC2" s="174" t="s">
        <v>75</v>
      </c>
      <c r="SD2" s="174"/>
      <c r="SE2" s="174"/>
      <c r="SF2" s="174"/>
      <c r="SG2" s="174"/>
      <c r="SH2" s="174"/>
      <c r="SI2" s="174"/>
      <c r="SJ2" s="174"/>
      <c r="SK2" s="174"/>
      <c r="SL2" s="174"/>
      <c r="SM2" s="174"/>
      <c r="SN2" s="28"/>
      <c r="SP2" s="174" t="s">
        <v>76</v>
      </c>
      <c r="SQ2" s="174"/>
      <c r="SR2" s="174"/>
      <c r="SS2" s="174"/>
      <c r="ST2" s="174"/>
      <c r="SU2" s="174"/>
      <c r="SV2" s="174"/>
      <c r="SW2" s="174"/>
      <c r="SX2" s="174"/>
      <c r="SY2" s="174"/>
      <c r="SZ2" s="174"/>
      <c r="TA2" s="28"/>
      <c r="TB2" s="28"/>
      <c r="TC2" s="174" t="s">
        <v>77</v>
      </c>
      <c r="TD2" s="174"/>
      <c r="TE2" s="174"/>
      <c r="TF2" s="174"/>
      <c r="TG2" s="174"/>
      <c r="TH2" s="174"/>
      <c r="TI2" s="174"/>
      <c r="TJ2" s="174"/>
      <c r="TK2" s="174"/>
      <c r="TL2" s="174"/>
      <c r="TM2" s="174"/>
      <c r="TN2" s="28"/>
      <c r="TO2" s="28"/>
      <c r="TP2" s="174" t="s">
        <v>78</v>
      </c>
      <c r="TQ2" s="174"/>
      <c r="TR2" s="174"/>
      <c r="TS2" s="174"/>
      <c r="TT2" s="174"/>
      <c r="TU2" s="174"/>
      <c r="TV2" s="174"/>
      <c r="TW2" s="174"/>
      <c r="TX2" s="174"/>
      <c r="TY2" s="174"/>
      <c r="TZ2" s="174"/>
      <c r="UA2" s="28"/>
      <c r="UC2" s="174" t="s">
        <v>72</v>
      </c>
      <c r="UD2" s="174"/>
      <c r="UE2" s="174"/>
      <c r="UF2" s="174"/>
      <c r="UG2" s="174"/>
      <c r="UH2" s="174"/>
      <c r="UI2" s="174"/>
      <c r="UJ2" s="174"/>
      <c r="UK2" s="174"/>
      <c r="UL2" s="174"/>
      <c r="UM2" s="174"/>
      <c r="UN2" s="28"/>
      <c r="UP2" s="174" t="s">
        <v>64</v>
      </c>
      <c r="UQ2" s="174"/>
      <c r="UR2" s="174"/>
      <c r="US2" s="174"/>
      <c r="UT2" s="174"/>
      <c r="UU2" s="174"/>
      <c r="UV2" s="174"/>
      <c r="UW2" s="174"/>
      <c r="UX2" s="174"/>
      <c r="UY2" s="174"/>
      <c r="UZ2" s="174"/>
      <c r="VA2" s="28"/>
      <c r="VB2" s="28"/>
      <c r="VC2" s="174" t="s">
        <v>60</v>
      </c>
      <c r="VD2" s="174"/>
      <c r="VE2" s="174"/>
      <c r="VF2" s="174"/>
      <c r="VG2" s="174"/>
      <c r="VH2" s="174"/>
      <c r="VI2" s="174"/>
      <c r="VJ2" s="174"/>
      <c r="VK2" s="174"/>
      <c r="VL2" s="174"/>
      <c r="VM2" s="174"/>
      <c r="VN2" s="28"/>
      <c r="VO2" s="28"/>
      <c r="VP2" s="174" t="s">
        <v>59</v>
      </c>
      <c r="VQ2" s="174"/>
      <c r="VR2" s="174"/>
      <c r="VS2" s="174"/>
      <c r="VT2" s="174"/>
      <c r="VU2" s="174"/>
      <c r="VV2" s="174"/>
      <c r="VW2" s="174"/>
      <c r="VX2" s="174"/>
      <c r="VY2" s="174"/>
      <c r="VZ2" s="174"/>
      <c r="WA2" s="28"/>
      <c r="WB2" s="33" t="s">
        <v>55</v>
      </c>
      <c r="WC2" s="174" t="str">
        <f xml:space="preserve"> "Segmenty operacyjne za okres 12m-cy zakończonych 31.12.2014 PO korekcie błędu"</f>
        <v>Segmenty operacyjne za okres 12m-cy zakończonych 31.12.2014 PO korekcie błędu</v>
      </c>
      <c r="WD2" s="174"/>
      <c r="WE2" s="174"/>
      <c r="WF2" s="174"/>
      <c r="WG2" s="174"/>
      <c r="WH2" s="174"/>
      <c r="WI2" s="174"/>
      <c r="WJ2" s="174"/>
      <c r="WK2" s="174"/>
      <c r="WL2" s="174"/>
      <c r="WM2" s="174"/>
      <c r="WN2" s="28"/>
      <c r="WO2" s="1"/>
      <c r="WP2" s="174" t="s">
        <v>45</v>
      </c>
      <c r="WQ2" s="174"/>
      <c r="WR2" s="174"/>
      <c r="WS2" s="174"/>
      <c r="WT2" s="174"/>
      <c r="WU2" s="174"/>
      <c r="WV2" s="174"/>
      <c r="WW2" s="174"/>
      <c r="WX2" s="174"/>
      <c r="WY2" s="174"/>
      <c r="WZ2" s="174"/>
      <c r="XA2" s="28"/>
      <c r="XB2" s="28"/>
      <c r="XC2" s="174" t="s">
        <v>58</v>
      </c>
      <c r="XD2" s="174"/>
      <c r="XE2" s="174"/>
      <c r="XF2" s="174"/>
      <c r="XG2" s="174"/>
      <c r="XH2" s="174"/>
      <c r="XI2" s="174"/>
      <c r="XJ2" s="174"/>
      <c r="XK2" s="174"/>
      <c r="XL2" s="174"/>
      <c r="XM2" s="174"/>
      <c r="XN2" s="27"/>
      <c r="XO2" s="28"/>
      <c r="XP2" s="174" t="s">
        <v>57</v>
      </c>
      <c r="XQ2" s="174"/>
      <c r="XR2" s="174"/>
      <c r="XS2" s="174"/>
      <c r="XT2" s="174"/>
      <c r="XU2" s="174"/>
      <c r="XV2" s="174"/>
      <c r="XW2" s="174"/>
      <c r="XX2" s="174"/>
      <c r="XY2" s="174"/>
      <c r="XZ2" s="174"/>
      <c r="YA2" s="27"/>
      <c r="YB2" s="28" t="s">
        <v>53</v>
      </c>
      <c r="YC2" s="174" t="str">
        <f xml:space="preserve"> "Segmenty operacyjne za okres 12m-cy zakończonych 31.12.2013"</f>
        <v>Segmenty operacyjne za okres 12m-cy zakończonych 31.12.2013</v>
      </c>
      <c r="YD2" s="174"/>
      <c r="YE2" s="174"/>
      <c r="YF2" s="174"/>
      <c r="YG2" s="174"/>
      <c r="YH2" s="174"/>
      <c r="YI2" s="174"/>
      <c r="YJ2" s="174"/>
      <c r="YK2" s="174"/>
      <c r="YL2" s="174"/>
      <c r="YM2" s="174"/>
      <c r="YN2" s="27"/>
      <c r="YO2" s="1"/>
      <c r="YP2" s="174" t="s">
        <v>47</v>
      </c>
      <c r="YQ2" s="174"/>
      <c r="YR2" s="174"/>
      <c r="YS2" s="174"/>
      <c r="YT2" s="174"/>
      <c r="YU2" s="174"/>
      <c r="YV2" s="174"/>
      <c r="YW2" s="174"/>
      <c r="YX2" s="174"/>
      <c r="YY2" s="174"/>
      <c r="YZ2" s="174"/>
    </row>
    <row r="3" spans="1:676" ht="42">
      <c r="A3" s="34" t="s">
        <v>126</v>
      </c>
      <c r="B3" s="5" t="s">
        <v>31</v>
      </c>
      <c r="D3" s="5" t="s">
        <v>32</v>
      </c>
      <c r="F3" s="62" t="s">
        <v>99</v>
      </c>
      <c r="H3" s="62" t="s">
        <v>134</v>
      </c>
      <c r="J3" s="5" t="s">
        <v>34</v>
      </c>
      <c r="L3" s="5" t="s">
        <v>35</v>
      </c>
      <c r="N3" s="5" t="s">
        <v>116</v>
      </c>
      <c r="Q3" s="34" t="s">
        <v>126</v>
      </c>
      <c r="R3" s="5" t="s">
        <v>31</v>
      </c>
      <c r="T3" s="5" t="s">
        <v>32</v>
      </c>
      <c r="V3" s="62" t="s">
        <v>99</v>
      </c>
      <c r="W3" s="62"/>
      <c r="X3" s="62" t="s">
        <v>134</v>
      </c>
      <c r="Z3" s="5" t="s">
        <v>34</v>
      </c>
      <c r="AB3" s="5" t="s">
        <v>35</v>
      </c>
      <c r="AD3" s="5" t="s">
        <v>116</v>
      </c>
      <c r="AG3" s="34" t="s">
        <v>126</v>
      </c>
      <c r="AH3" s="5" t="s">
        <v>31</v>
      </c>
      <c r="AJ3" s="5" t="s">
        <v>32</v>
      </c>
      <c r="AL3" s="62" t="s">
        <v>99</v>
      </c>
      <c r="AM3" s="62"/>
      <c r="AN3" s="62" t="s">
        <v>134</v>
      </c>
      <c r="AP3" s="5" t="s">
        <v>34</v>
      </c>
      <c r="AR3" s="5" t="s">
        <v>35</v>
      </c>
      <c r="AT3" s="5" t="s">
        <v>116</v>
      </c>
      <c r="AW3" s="34" t="s">
        <v>126</v>
      </c>
      <c r="AX3" s="5" t="s">
        <v>31</v>
      </c>
      <c r="AZ3" s="5" t="s">
        <v>32</v>
      </c>
      <c r="BB3" s="62" t="s">
        <v>99</v>
      </c>
      <c r="BC3" s="62"/>
      <c r="BD3" s="62" t="s">
        <v>134</v>
      </c>
      <c r="BF3" s="5" t="s">
        <v>34</v>
      </c>
      <c r="BH3" s="5" t="s">
        <v>35</v>
      </c>
      <c r="BJ3" s="5" t="s">
        <v>116</v>
      </c>
      <c r="BM3" s="34" t="s">
        <v>121</v>
      </c>
      <c r="BN3" s="5" t="s">
        <v>31</v>
      </c>
      <c r="BP3" s="5" t="s">
        <v>32</v>
      </c>
      <c r="BR3" s="62" t="s">
        <v>99</v>
      </c>
      <c r="BT3" s="62" t="s">
        <v>134</v>
      </c>
      <c r="BV3" s="5" t="s">
        <v>34</v>
      </c>
      <c r="BX3" s="5" t="s">
        <v>35</v>
      </c>
      <c r="BZ3" s="5" t="s">
        <v>116</v>
      </c>
      <c r="CC3" s="34" t="s">
        <v>121</v>
      </c>
      <c r="CD3" s="5" t="s">
        <v>31</v>
      </c>
      <c r="CF3" s="5" t="s">
        <v>32</v>
      </c>
      <c r="CH3" s="62" t="s">
        <v>99</v>
      </c>
      <c r="CI3" s="62"/>
      <c r="CJ3" s="62" t="s">
        <v>134</v>
      </c>
      <c r="CL3" s="5" t="s">
        <v>34</v>
      </c>
      <c r="CN3" s="5" t="s">
        <v>35</v>
      </c>
      <c r="CP3" s="5" t="s">
        <v>116</v>
      </c>
      <c r="CS3" s="34" t="s">
        <v>121</v>
      </c>
      <c r="CT3" s="5" t="s">
        <v>31</v>
      </c>
      <c r="CV3" s="5" t="s">
        <v>32</v>
      </c>
      <c r="CX3" s="62" t="s">
        <v>99</v>
      </c>
      <c r="CY3" s="62"/>
      <c r="CZ3" s="62" t="s">
        <v>134</v>
      </c>
      <c r="DB3" s="5" t="s">
        <v>34</v>
      </c>
      <c r="DD3" s="5" t="s">
        <v>35</v>
      </c>
      <c r="DF3" s="5" t="s">
        <v>116</v>
      </c>
      <c r="DI3" s="34" t="s">
        <v>121</v>
      </c>
      <c r="DJ3" s="5" t="s">
        <v>31</v>
      </c>
      <c r="DL3" s="5" t="s">
        <v>32</v>
      </c>
      <c r="DN3" s="62" t="s">
        <v>99</v>
      </c>
      <c r="DO3" s="62"/>
      <c r="DP3" s="62" t="s">
        <v>134</v>
      </c>
      <c r="DR3" s="5" t="s">
        <v>34</v>
      </c>
      <c r="DT3" s="5" t="s">
        <v>35</v>
      </c>
      <c r="DV3" s="5" t="s">
        <v>116</v>
      </c>
      <c r="DY3" s="34" t="s">
        <v>122</v>
      </c>
      <c r="DZ3" s="5" t="s">
        <v>31</v>
      </c>
      <c r="EB3" s="5" t="s">
        <v>32</v>
      </c>
      <c r="ED3" s="62" t="s">
        <v>99</v>
      </c>
      <c r="EF3" s="5" t="s">
        <v>34</v>
      </c>
      <c r="EH3" s="5" t="s">
        <v>35</v>
      </c>
      <c r="EJ3" s="5" t="s">
        <v>116</v>
      </c>
      <c r="EM3" s="34" t="s">
        <v>122</v>
      </c>
      <c r="EN3" s="5" t="s">
        <v>31</v>
      </c>
      <c r="EP3" s="5" t="s">
        <v>32</v>
      </c>
      <c r="ER3" s="62" t="s">
        <v>99</v>
      </c>
      <c r="ET3" s="5" t="s">
        <v>34</v>
      </c>
      <c r="EV3" s="5" t="s">
        <v>35</v>
      </c>
      <c r="EX3" s="5" t="s">
        <v>116</v>
      </c>
      <c r="FA3" s="34" t="s">
        <v>122</v>
      </c>
      <c r="FB3" s="5" t="s">
        <v>31</v>
      </c>
      <c r="FD3" s="5" t="s">
        <v>32</v>
      </c>
      <c r="FF3" s="62" t="s">
        <v>99</v>
      </c>
      <c r="FH3" s="5" t="s">
        <v>34</v>
      </c>
      <c r="FJ3" s="5" t="s">
        <v>35</v>
      </c>
      <c r="FL3" s="5" t="s">
        <v>116</v>
      </c>
      <c r="FO3" s="34" t="s">
        <v>122</v>
      </c>
      <c r="FP3" s="5" t="s">
        <v>31</v>
      </c>
      <c r="FR3" s="5" t="s">
        <v>32</v>
      </c>
      <c r="FT3" s="62" t="s">
        <v>99</v>
      </c>
      <c r="FV3" s="5" t="s">
        <v>34</v>
      </c>
      <c r="FX3" s="5" t="s">
        <v>35</v>
      </c>
      <c r="FZ3" s="5" t="s">
        <v>116</v>
      </c>
      <c r="GC3" s="34" t="s">
        <v>111</v>
      </c>
      <c r="GD3" s="5" t="s">
        <v>31</v>
      </c>
      <c r="GF3" s="5" t="s">
        <v>32</v>
      </c>
      <c r="GH3" s="62" t="s">
        <v>99</v>
      </c>
      <c r="GJ3" s="5" t="s">
        <v>34</v>
      </c>
      <c r="GL3" s="5" t="s">
        <v>35</v>
      </c>
      <c r="GN3" s="5" t="s">
        <v>116</v>
      </c>
      <c r="GQ3" s="34" t="s">
        <v>111</v>
      </c>
      <c r="GR3" s="5" t="s">
        <v>31</v>
      </c>
      <c r="GT3" s="5" t="s">
        <v>32</v>
      </c>
      <c r="GV3" s="62" t="s">
        <v>99</v>
      </c>
      <c r="GX3" s="5" t="s">
        <v>34</v>
      </c>
      <c r="GZ3" s="5" t="s">
        <v>35</v>
      </c>
      <c r="HB3" s="5" t="s">
        <v>116</v>
      </c>
      <c r="HE3" s="34" t="s">
        <v>111</v>
      </c>
      <c r="HF3" s="5" t="s">
        <v>31</v>
      </c>
      <c r="HH3" s="5" t="s">
        <v>32</v>
      </c>
      <c r="HJ3" s="62" t="s">
        <v>99</v>
      </c>
      <c r="HL3" s="5" t="s">
        <v>34</v>
      </c>
      <c r="HN3" s="5" t="s">
        <v>35</v>
      </c>
      <c r="HP3" s="5" t="s">
        <v>116</v>
      </c>
      <c r="HS3" s="34" t="s">
        <v>111</v>
      </c>
      <c r="HT3" s="5" t="s">
        <v>31</v>
      </c>
      <c r="HV3" s="5" t="s">
        <v>32</v>
      </c>
      <c r="HX3" s="62" t="s">
        <v>99</v>
      </c>
      <c r="HZ3" s="5" t="s">
        <v>34</v>
      </c>
      <c r="IB3" s="5" t="s">
        <v>35</v>
      </c>
      <c r="ID3" s="5" t="s">
        <v>116</v>
      </c>
      <c r="IG3" s="34" t="s">
        <v>110</v>
      </c>
      <c r="IH3" s="5" t="s">
        <v>31</v>
      </c>
      <c r="IJ3" s="5" t="s">
        <v>32</v>
      </c>
      <c r="IL3" s="62" t="s">
        <v>99</v>
      </c>
      <c r="IN3" s="5" t="s">
        <v>34</v>
      </c>
      <c r="IP3" s="5" t="s">
        <v>35</v>
      </c>
      <c r="IR3" s="5" t="s">
        <v>36</v>
      </c>
      <c r="IU3" s="34" t="s">
        <v>110</v>
      </c>
      <c r="IV3" s="5" t="s">
        <v>31</v>
      </c>
      <c r="IX3" s="5" t="s">
        <v>32</v>
      </c>
      <c r="IZ3" s="62" t="s">
        <v>99</v>
      </c>
      <c r="JB3" s="5" t="s">
        <v>34</v>
      </c>
      <c r="JD3" s="5" t="s">
        <v>35</v>
      </c>
      <c r="JF3" s="5" t="s">
        <v>36</v>
      </c>
      <c r="JI3" s="34" t="s">
        <v>110</v>
      </c>
      <c r="JJ3" s="5" t="s">
        <v>31</v>
      </c>
      <c r="JL3" s="5" t="s">
        <v>32</v>
      </c>
      <c r="JN3" s="62" t="s">
        <v>99</v>
      </c>
      <c r="JP3" s="5" t="s">
        <v>34</v>
      </c>
      <c r="JR3" s="5" t="s">
        <v>35</v>
      </c>
      <c r="JT3" s="5" t="s">
        <v>36</v>
      </c>
      <c r="JW3" s="34" t="s">
        <v>110</v>
      </c>
      <c r="JX3" s="5" t="s">
        <v>31</v>
      </c>
      <c r="JZ3" s="5" t="s">
        <v>32</v>
      </c>
      <c r="KB3" s="62" t="s">
        <v>99</v>
      </c>
      <c r="KD3" s="5" t="s">
        <v>34</v>
      </c>
      <c r="KF3" s="5" t="s">
        <v>35</v>
      </c>
      <c r="KH3" s="5" t="s">
        <v>36</v>
      </c>
      <c r="KK3" s="34" t="s">
        <v>105</v>
      </c>
      <c r="KL3" s="5" t="s">
        <v>31</v>
      </c>
      <c r="KN3" s="5" t="s">
        <v>32</v>
      </c>
      <c r="KP3" s="62" t="s">
        <v>99</v>
      </c>
      <c r="KR3" s="5" t="s">
        <v>34</v>
      </c>
      <c r="KT3" s="5" t="s">
        <v>35</v>
      </c>
      <c r="KV3" s="5" t="s">
        <v>36</v>
      </c>
      <c r="KY3" s="34"/>
      <c r="KZ3" s="5" t="s">
        <v>31</v>
      </c>
      <c r="LB3" s="5" t="s">
        <v>32</v>
      </c>
      <c r="LD3" s="62" t="s">
        <v>99</v>
      </c>
      <c r="LF3" s="5" t="s">
        <v>34</v>
      </c>
      <c r="LH3" s="5" t="s">
        <v>35</v>
      </c>
      <c r="LJ3" s="5" t="s">
        <v>36</v>
      </c>
      <c r="LM3" s="34"/>
      <c r="LN3" s="5" t="s">
        <v>31</v>
      </c>
      <c r="LP3" s="5" t="s">
        <v>32</v>
      </c>
      <c r="LR3" s="52" t="s">
        <v>99</v>
      </c>
      <c r="LS3" s="5"/>
      <c r="LT3" s="5" t="s">
        <v>34</v>
      </c>
      <c r="LV3" s="6" t="s">
        <v>35</v>
      </c>
      <c r="LX3" s="5" t="s">
        <v>36</v>
      </c>
      <c r="LZ3" s="34"/>
      <c r="MA3" s="5" t="s">
        <v>31</v>
      </c>
      <c r="MC3" s="5" t="s">
        <v>32</v>
      </c>
      <c r="ME3" s="52" t="s">
        <v>99</v>
      </c>
      <c r="MG3" s="5" t="s">
        <v>34</v>
      </c>
      <c r="MI3" s="6" t="s">
        <v>35</v>
      </c>
      <c r="MK3" s="5" t="s">
        <v>36</v>
      </c>
      <c r="ML3" s="5"/>
      <c r="MM3" s="34" t="s">
        <v>93</v>
      </c>
      <c r="MN3" s="5" t="s">
        <v>31</v>
      </c>
      <c r="MP3" s="5" t="s">
        <v>32</v>
      </c>
      <c r="MR3" s="62" t="s">
        <v>99</v>
      </c>
      <c r="MT3" s="5" t="s">
        <v>34</v>
      </c>
      <c r="MV3" s="5" t="s">
        <v>35</v>
      </c>
      <c r="MX3" s="5" t="s">
        <v>36</v>
      </c>
      <c r="NA3" s="34"/>
      <c r="NB3" s="5" t="s">
        <v>31</v>
      </c>
      <c r="ND3" s="5" t="s">
        <v>32</v>
      </c>
      <c r="NF3" s="62" t="s">
        <v>99</v>
      </c>
      <c r="NH3" s="5" t="s">
        <v>34</v>
      </c>
      <c r="NJ3" s="5" t="s">
        <v>35</v>
      </c>
      <c r="NL3" s="5" t="s">
        <v>36</v>
      </c>
      <c r="NO3" s="34"/>
      <c r="NP3" s="5" t="s">
        <v>31</v>
      </c>
      <c r="NR3" s="5" t="s">
        <v>32</v>
      </c>
      <c r="NT3" s="52" t="s">
        <v>99</v>
      </c>
      <c r="NU3" s="5"/>
      <c r="NV3" s="5" t="s">
        <v>34</v>
      </c>
      <c r="NX3" s="6" t="s">
        <v>35</v>
      </c>
      <c r="NZ3" s="5" t="s">
        <v>36</v>
      </c>
      <c r="OB3" s="34"/>
      <c r="OC3" s="5" t="s">
        <v>31</v>
      </c>
      <c r="OE3" s="5" t="s">
        <v>32</v>
      </c>
      <c r="OG3" s="52" t="s">
        <v>99</v>
      </c>
      <c r="OI3" s="5" t="s">
        <v>34</v>
      </c>
      <c r="OK3" s="6" t="s">
        <v>35</v>
      </c>
      <c r="OM3" s="5" t="s">
        <v>36</v>
      </c>
      <c r="OO3" s="34" t="s">
        <v>84</v>
      </c>
      <c r="OP3" s="5" t="s">
        <v>31</v>
      </c>
      <c r="OR3" s="5" t="s">
        <v>32</v>
      </c>
      <c r="OT3" s="52" t="s">
        <v>99</v>
      </c>
      <c r="OV3" s="5" t="s">
        <v>34</v>
      </c>
      <c r="OX3" s="6" t="s">
        <v>35</v>
      </c>
      <c r="OZ3" s="5" t="s">
        <v>36</v>
      </c>
      <c r="PA3" s="24"/>
      <c r="PB3" s="34"/>
      <c r="PC3" s="5" t="s">
        <v>31</v>
      </c>
      <c r="PE3" s="5" t="s">
        <v>32</v>
      </c>
      <c r="PG3" s="38" t="s">
        <v>33</v>
      </c>
      <c r="PI3" s="5" t="s">
        <v>34</v>
      </c>
      <c r="PK3" s="6" t="s">
        <v>35</v>
      </c>
      <c r="PM3" s="5" t="s">
        <v>36</v>
      </c>
      <c r="PN3" s="24"/>
      <c r="PO3" s="34"/>
      <c r="PP3" s="5" t="s">
        <v>31</v>
      </c>
      <c r="PR3" s="5" t="s">
        <v>32</v>
      </c>
      <c r="PT3" s="38" t="s">
        <v>33</v>
      </c>
      <c r="PV3" s="5" t="s">
        <v>34</v>
      </c>
      <c r="PX3" s="6" t="s">
        <v>35</v>
      </c>
      <c r="PZ3" s="5" t="s">
        <v>36</v>
      </c>
      <c r="QA3" s="24"/>
      <c r="QB3" s="34"/>
      <c r="QC3" s="5" t="s">
        <v>31</v>
      </c>
      <c r="QE3" s="5" t="s">
        <v>32</v>
      </c>
      <c r="QG3" s="38" t="s">
        <v>33</v>
      </c>
      <c r="QI3" s="5" t="s">
        <v>34</v>
      </c>
      <c r="QK3" s="6" t="s">
        <v>35</v>
      </c>
      <c r="QM3" s="5" t="s">
        <v>36</v>
      </c>
      <c r="QN3" s="24"/>
      <c r="QO3" s="34"/>
      <c r="QP3" s="5" t="s">
        <v>31</v>
      </c>
      <c r="QR3" s="5" t="s">
        <v>32</v>
      </c>
      <c r="QT3" s="5" t="s">
        <v>33</v>
      </c>
      <c r="QV3" s="5" t="s">
        <v>34</v>
      </c>
      <c r="QX3" s="6" t="s">
        <v>35</v>
      </c>
      <c r="QZ3" s="5" t="s">
        <v>36</v>
      </c>
      <c r="RA3" s="24"/>
      <c r="RB3" s="34"/>
      <c r="RC3" s="5" t="s">
        <v>31</v>
      </c>
      <c r="RE3" s="5" t="s">
        <v>32</v>
      </c>
      <c r="RG3" s="5" t="s">
        <v>33</v>
      </c>
      <c r="RI3" s="5" t="s">
        <v>34</v>
      </c>
      <c r="RK3" s="6" t="s">
        <v>35</v>
      </c>
      <c r="RM3" s="5" t="s">
        <v>36</v>
      </c>
      <c r="RN3" s="24"/>
      <c r="RO3" s="34"/>
      <c r="RP3" s="5" t="s">
        <v>31</v>
      </c>
      <c r="RR3" s="5" t="s">
        <v>32</v>
      </c>
      <c r="RT3" s="5" t="s">
        <v>33</v>
      </c>
      <c r="RV3" s="5" t="s">
        <v>34</v>
      </c>
      <c r="RX3" s="6" t="s">
        <v>35</v>
      </c>
      <c r="RZ3" s="5" t="s">
        <v>36</v>
      </c>
      <c r="SA3" s="24"/>
      <c r="SB3" s="34" t="s">
        <v>82</v>
      </c>
      <c r="SC3" s="5" t="s">
        <v>31</v>
      </c>
      <c r="SE3" s="5" t="s">
        <v>32</v>
      </c>
      <c r="SG3" s="5" t="s">
        <v>33</v>
      </c>
      <c r="SI3" s="5" t="s">
        <v>34</v>
      </c>
      <c r="SK3" s="6" t="s">
        <v>35</v>
      </c>
      <c r="SM3" s="5" t="s">
        <v>36</v>
      </c>
      <c r="SN3" s="24"/>
      <c r="SP3" s="5" t="s">
        <v>31</v>
      </c>
      <c r="SR3" s="5" t="s">
        <v>32</v>
      </c>
      <c r="ST3" s="5" t="s">
        <v>33</v>
      </c>
      <c r="SV3" s="5" t="s">
        <v>34</v>
      </c>
      <c r="SX3" s="6" t="s">
        <v>35</v>
      </c>
      <c r="SZ3" s="5" t="s">
        <v>36</v>
      </c>
      <c r="TA3" s="24"/>
      <c r="TB3" s="24"/>
      <c r="TC3" s="5" t="s">
        <v>31</v>
      </c>
      <c r="TE3" s="5" t="s">
        <v>32</v>
      </c>
      <c r="TG3" s="5" t="s">
        <v>33</v>
      </c>
      <c r="TI3" s="5" t="s">
        <v>34</v>
      </c>
      <c r="TK3" s="6" t="s">
        <v>35</v>
      </c>
      <c r="TM3" s="5" t="s">
        <v>36</v>
      </c>
      <c r="TN3" s="24"/>
      <c r="TO3" s="24"/>
      <c r="TP3" s="5" t="s">
        <v>31</v>
      </c>
      <c r="TR3" s="5" t="s">
        <v>32</v>
      </c>
      <c r="TT3" s="5" t="s">
        <v>33</v>
      </c>
      <c r="TV3" s="5" t="s">
        <v>34</v>
      </c>
      <c r="TX3" s="6" t="s">
        <v>35</v>
      </c>
      <c r="TZ3" s="5" t="s">
        <v>36</v>
      </c>
      <c r="UA3" s="24"/>
      <c r="UB3" s="34" t="s">
        <v>65</v>
      </c>
      <c r="UC3" s="5" t="s">
        <v>31</v>
      </c>
      <c r="UE3" s="5" t="s">
        <v>32</v>
      </c>
      <c r="UG3" s="5" t="s">
        <v>33</v>
      </c>
      <c r="UI3" s="5" t="s">
        <v>34</v>
      </c>
      <c r="UK3" s="6" t="s">
        <v>35</v>
      </c>
      <c r="UM3" s="5" t="s">
        <v>36</v>
      </c>
      <c r="UN3" s="24"/>
      <c r="UP3" s="5" t="s">
        <v>31</v>
      </c>
      <c r="UR3" s="5" t="s">
        <v>32</v>
      </c>
      <c r="UT3" s="5" t="s">
        <v>33</v>
      </c>
      <c r="UV3" s="5" t="s">
        <v>34</v>
      </c>
      <c r="UX3" s="6" t="s">
        <v>35</v>
      </c>
      <c r="UZ3" s="5" t="s">
        <v>36</v>
      </c>
      <c r="VA3" s="24"/>
      <c r="VB3" s="24"/>
      <c r="VC3" s="5" t="s">
        <v>31</v>
      </c>
      <c r="VE3" s="5" t="s">
        <v>32</v>
      </c>
      <c r="VG3" s="5" t="s">
        <v>33</v>
      </c>
      <c r="VI3" s="5" t="s">
        <v>50</v>
      </c>
      <c r="VK3" s="5" t="s">
        <v>35</v>
      </c>
      <c r="VM3" s="5" t="s">
        <v>36</v>
      </c>
      <c r="VN3" s="24"/>
      <c r="VO3" s="24"/>
      <c r="VP3" s="5" t="s">
        <v>31</v>
      </c>
      <c r="VR3" s="5" t="s">
        <v>32</v>
      </c>
      <c r="VT3" s="5" t="s">
        <v>33</v>
      </c>
      <c r="VV3" s="5" t="s">
        <v>34</v>
      </c>
      <c r="VX3" s="5" t="s">
        <v>35</v>
      </c>
      <c r="VZ3" s="5" t="s">
        <v>36</v>
      </c>
      <c r="WA3" s="24"/>
      <c r="WC3" s="5" t="s">
        <v>31</v>
      </c>
      <c r="WE3" s="5" t="s">
        <v>32</v>
      </c>
      <c r="WG3" s="5" t="s">
        <v>33</v>
      </c>
      <c r="WI3" s="5" t="s">
        <v>50</v>
      </c>
      <c r="WK3" s="6" t="s">
        <v>35</v>
      </c>
      <c r="WM3" s="5" t="s">
        <v>36</v>
      </c>
      <c r="WN3" s="24"/>
      <c r="WP3" s="5" t="s">
        <v>31</v>
      </c>
      <c r="WR3" s="5" t="s">
        <v>32</v>
      </c>
      <c r="WT3" s="5" t="s">
        <v>33</v>
      </c>
      <c r="WV3" s="5" t="s">
        <v>34</v>
      </c>
      <c r="WX3" s="6" t="s">
        <v>35</v>
      </c>
      <c r="WZ3" s="5" t="s">
        <v>36</v>
      </c>
      <c r="XA3" s="24"/>
      <c r="XB3" s="24"/>
      <c r="XC3" s="5" t="s">
        <v>31</v>
      </c>
      <c r="XE3" s="5" t="s">
        <v>32</v>
      </c>
      <c r="XG3" s="5" t="s">
        <v>33</v>
      </c>
      <c r="XI3" s="5" t="s">
        <v>50</v>
      </c>
      <c r="XK3" s="5" t="s">
        <v>35</v>
      </c>
      <c r="XM3" s="5" t="s">
        <v>36</v>
      </c>
      <c r="XN3" s="5"/>
      <c r="XO3" s="24"/>
      <c r="XP3" s="5" t="s">
        <v>31</v>
      </c>
      <c r="XR3" s="5" t="s">
        <v>32</v>
      </c>
      <c r="XT3" s="5" t="s">
        <v>33</v>
      </c>
      <c r="XV3" s="5" t="s">
        <v>34</v>
      </c>
      <c r="XX3" s="5" t="s">
        <v>35</v>
      </c>
      <c r="XZ3" s="5" t="s">
        <v>36</v>
      </c>
      <c r="YA3" s="5"/>
      <c r="YB3" s="24"/>
      <c r="YC3" s="5" t="s">
        <v>31</v>
      </c>
      <c r="YE3" s="5" t="s">
        <v>32</v>
      </c>
      <c r="YG3" s="5" t="s">
        <v>33</v>
      </c>
      <c r="YI3" s="5" t="s">
        <v>34</v>
      </c>
      <c r="YK3" s="5" t="s">
        <v>35</v>
      </c>
      <c r="YM3" s="5" t="s">
        <v>36</v>
      </c>
      <c r="YN3" s="5"/>
      <c r="YP3" s="5" t="s">
        <v>31</v>
      </c>
      <c r="YR3" s="5" t="s">
        <v>32</v>
      </c>
      <c r="YT3" s="5" t="s">
        <v>33</v>
      </c>
      <c r="YV3" s="5" t="s">
        <v>34</v>
      </c>
      <c r="YX3" s="6" t="s">
        <v>35</v>
      </c>
      <c r="YZ3" s="5" t="s">
        <v>36</v>
      </c>
    </row>
    <row r="4" spans="1:676">
      <c r="H4" s="61"/>
      <c r="X4" s="61"/>
      <c r="LR4" s="53"/>
      <c r="ME4" s="53"/>
      <c r="NT4" s="53"/>
      <c r="OG4" s="53"/>
      <c r="OT4" s="53"/>
      <c r="PA4" s="24"/>
      <c r="PG4" s="39"/>
      <c r="PN4" s="24"/>
      <c r="PT4" s="39"/>
      <c r="QA4" s="24"/>
      <c r="QG4" s="39"/>
      <c r="QN4" s="24"/>
      <c r="RA4" s="24"/>
      <c r="RN4" s="24"/>
      <c r="SA4" s="24"/>
      <c r="SN4" s="24"/>
      <c r="TA4" s="24"/>
      <c r="TB4" s="24"/>
      <c r="TN4" s="24"/>
      <c r="TO4" s="24"/>
      <c r="UA4" s="24"/>
      <c r="UN4" s="24"/>
      <c r="VA4" s="24"/>
      <c r="VB4" s="24"/>
      <c r="VN4" s="24"/>
      <c r="VO4" s="24"/>
      <c r="WA4" s="24"/>
      <c r="WN4" s="24"/>
      <c r="XA4" s="24"/>
      <c r="XB4" s="24"/>
      <c r="XN4" s="2"/>
      <c r="XO4" s="24"/>
      <c r="YA4" s="2"/>
      <c r="YB4" s="24"/>
      <c r="YN4" s="2"/>
    </row>
    <row r="5" spans="1:676" s="27" customFormat="1" ht="20.5" customHeight="1">
      <c r="A5" s="27" t="s">
        <v>37</v>
      </c>
      <c r="B5" s="127">
        <f>SUM(B6:B7)</f>
        <v>183466465.70999998</v>
      </c>
      <c r="D5" s="138">
        <v>46022</v>
      </c>
      <c r="E5" s="138"/>
      <c r="F5" s="138">
        <f>SUM(F6:F7)</f>
        <v>0</v>
      </c>
      <c r="G5" s="138"/>
      <c r="H5" s="138">
        <f>SUM(H6:H7)</f>
        <v>0</v>
      </c>
      <c r="I5" s="138"/>
      <c r="J5" s="138">
        <f>SUM(J6:J7)</f>
        <v>1546800</v>
      </c>
      <c r="K5" s="138"/>
      <c r="L5" s="138">
        <f>SUM(L6:L7)</f>
        <v>-4801129.83</v>
      </c>
      <c r="M5" s="138"/>
      <c r="N5" s="138">
        <f>SUM(N6:N7)</f>
        <v>183732644.78</v>
      </c>
      <c r="O5" s="139"/>
      <c r="P5" s="139"/>
      <c r="Q5" s="139" t="s">
        <v>37</v>
      </c>
      <c r="R5" s="138">
        <f>SUM(R6:R7)</f>
        <v>135956442.91069648</v>
      </c>
      <c r="S5" s="139"/>
      <c r="T5" s="138">
        <f>SUM(T6:T7)</f>
        <v>2366927.2599999998</v>
      </c>
      <c r="U5" s="138"/>
      <c r="V5" s="138">
        <f>SUM(V6:V7)</f>
        <v>0</v>
      </c>
      <c r="W5" s="138"/>
      <c r="X5" s="127">
        <f>SUM(X6:X7)</f>
        <v>0</v>
      </c>
      <c r="Y5" s="127"/>
      <c r="Z5" s="128">
        <v>0</v>
      </c>
      <c r="AA5" s="127"/>
      <c r="AB5" s="127">
        <f>SUM(AB6:AB7)</f>
        <v>-3051955.7800000003</v>
      </c>
      <c r="AC5" s="127"/>
      <c r="AD5" s="127">
        <f>SUM(AD6:AD7)</f>
        <v>136431514.3906965</v>
      </c>
      <c r="AG5" s="27" t="s">
        <v>37</v>
      </c>
      <c r="AH5" s="127">
        <f>SUM(AH6:AH7)</f>
        <v>91111502.950000048</v>
      </c>
      <c r="AJ5" s="127">
        <f>SUM(AJ6:AJ7)</f>
        <v>1299953.74</v>
      </c>
      <c r="AK5" s="127"/>
      <c r="AL5" s="127">
        <f>SUM(AL6:AL7)</f>
        <v>0</v>
      </c>
      <c r="AM5" s="127"/>
      <c r="AN5" s="127">
        <f>SUM(AN6:AN7)</f>
        <v>0</v>
      </c>
      <c r="AO5" s="127"/>
      <c r="AP5" s="127">
        <f>SUM(AP6:AP7)</f>
        <v>773400</v>
      </c>
      <c r="AQ5" s="127"/>
      <c r="AR5" s="127">
        <f>SUM(AR6:AR7)</f>
        <v>-2042806.01</v>
      </c>
      <c r="AS5" s="127"/>
      <c r="AT5" s="127">
        <f>SUM(AT6:AT7)</f>
        <v>91142050.680000037</v>
      </c>
      <c r="AW5" s="27" t="s">
        <v>37</v>
      </c>
      <c r="AX5" s="127">
        <f>SUM(AX6:AX7)</f>
        <v>33203800.086003672</v>
      </c>
      <c r="AZ5" s="127">
        <f>SUM(AZ6:AZ7)</f>
        <v>512090.59</v>
      </c>
      <c r="BA5" s="127"/>
      <c r="BB5" s="129">
        <f>SUM(BB6:BB7)</f>
        <v>0</v>
      </c>
      <c r="BC5" s="129"/>
      <c r="BD5" s="129">
        <f>SUM(BD6:BD7)</f>
        <v>0</v>
      </c>
      <c r="BE5" s="127"/>
      <c r="BF5" s="127">
        <f>SUM(BF6:BF7)</f>
        <v>386700</v>
      </c>
      <c r="BG5" s="127"/>
      <c r="BH5" s="127">
        <f>SUM(BH6:BH7)</f>
        <v>-974182.13</v>
      </c>
      <c r="BI5" s="127"/>
      <c r="BJ5" s="127">
        <f>SUM(AX5:BH5)</f>
        <v>33128408.546003673</v>
      </c>
      <c r="BM5" s="27" t="s">
        <v>37</v>
      </c>
      <c r="BN5" s="127">
        <f>SUM(BN6:BN7)</f>
        <v>152781561.35927001</v>
      </c>
      <c r="BP5" s="127">
        <f>SUM(BP6:BP7)</f>
        <v>1950806.75</v>
      </c>
      <c r="BQ5" s="127"/>
      <c r="BR5" s="129">
        <f>SUM(BR6:BR7)</f>
        <v>0</v>
      </c>
      <c r="BS5" s="127"/>
      <c r="BT5" s="129">
        <f>SUM(BT6:BT7)</f>
        <v>0</v>
      </c>
      <c r="BU5" s="127"/>
      <c r="BV5" s="127">
        <f>SUM(BV6:BV7)</f>
        <v>1542600</v>
      </c>
      <c r="BW5" s="127"/>
      <c r="BX5" s="127">
        <f>SUM(BX6:BX7)</f>
        <v>-3335591.5399999996</v>
      </c>
      <c r="BY5" s="127"/>
      <c r="BZ5" s="127">
        <f>SUM(BN5:BX5)</f>
        <v>152939376.56927001</v>
      </c>
      <c r="CC5" s="27" t="s">
        <v>37</v>
      </c>
      <c r="CD5" s="127">
        <f>SUM(CD6:CD7)</f>
        <v>133247934.98832232</v>
      </c>
      <c r="CF5" s="127">
        <f>SUM(CF6:CF7)</f>
        <v>1550541.73</v>
      </c>
      <c r="CG5" s="127"/>
      <c r="CH5" s="129">
        <f>SUM(CH6:CH7)</f>
        <v>0</v>
      </c>
      <c r="CI5" s="129"/>
      <c r="CJ5" s="129">
        <f>SUM(CJ6:CJ7)</f>
        <v>0</v>
      </c>
      <c r="CK5" s="127"/>
      <c r="CL5" s="127">
        <f>SUM(CL6:CL7)</f>
        <v>1155900</v>
      </c>
      <c r="CM5" s="127"/>
      <c r="CN5" s="127">
        <f>SUM(CN6:CN7)</f>
        <v>-2579697.8099999996</v>
      </c>
      <c r="CO5" s="127"/>
      <c r="CP5" s="127">
        <f>SUM(CD5:CN5)</f>
        <v>133374678.9083223</v>
      </c>
      <c r="CS5" s="27" t="s">
        <v>37</v>
      </c>
      <c r="CT5" s="127">
        <f>SUM(CT6:CT7)</f>
        <v>89561868.889999971</v>
      </c>
      <c r="CV5" s="127">
        <f>SUM(CV6:CV7)</f>
        <v>833107.78</v>
      </c>
      <c r="CW5" s="127"/>
      <c r="CX5" s="129">
        <f>SUM(CX6:CX7)</f>
        <v>0</v>
      </c>
      <c r="CY5" s="129"/>
      <c r="CZ5" s="129">
        <f>SUM(CZ6:CZ7)</f>
        <v>0</v>
      </c>
      <c r="DA5" s="127"/>
      <c r="DB5" s="127">
        <f>SUM(DB6:DB7)</f>
        <v>769200</v>
      </c>
      <c r="DC5" s="127"/>
      <c r="DD5" s="127">
        <f>SUM(DD6:DD7)</f>
        <v>-1736170.21</v>
      </c>
      <c r="DE5" s="127"/>
      <c r="DF5" s="127">
        <f>SUM(CT5:DD5)</f>
        <v>89428006.459999979</v>
      </c>
      <c r="DI5" s="27" t="s">
        <v>37</v>
      </c>
      <c r="DJ5" s="127">
        <f>SUM(DJ6:DJ7)</f>
        <v>60525689.820958994</v>
      </c>
      <c r="DL5" s="127">
        <f>SUM(DL6:DL7)</f>
        <v>386429.73</v>
      </c>
      <c r="DM5" s="127"/>
      <c r="DN5" s="129">
        <f>SUM(DN6:DN7)</f>
        <v>0</v>
      </c>
      <c r="DO5" s="129"/>
      <c r="DP5" s="129">
        <f>SUM(DP6:DP7)</f>
        <v>0</v>
      </c>
      <c r="DQ5" s="127"/>
      <c r="DR5" s="127">
        <f>SUM(DR6:DR7)</f>
        <v>382500</v>
      </c>
      <c r="DS5" s="127"/>
      <c r="DT5" s="127">
        <f>SUM(DT6:DT7)</f>
        <v>-967139.45000000007</v>
      </c>
      <c r="DU5" s="127"/>
      <c r="DV5" s="127">
        <f>SUM(DJ5:DT5)</f>
        <v>60327480.100958988</v>
      </c>
      <c r="DY5" s="27" t="s">
        <v>37</v>
      </c>
      <c r="DZ5" s="127">
        <f>SUM(DZ6:DZ7)</f>
        <v>160162938.82547191</v>
      </c>
      <c r="EB5" s="127">
        <f>SUM(EB6:EB7)</f>
        <v>1945851.14</v>
      </c>
      <c r="EC5" s="127"/>
      <c r="ED5" s="129">
        <f>SUM(ED6:ED7)</f>
        <v>0</v>
      </c>
      <c r="EE5" s="127"/>
      <c r="EF5" s="127">
        <f>SUM(EF6:EF7)</f>
        <v>1530000</v>
      </c>
      <c r="EG5" s="127"/>
      <c r="EH5" s="127">
        <f>SUM(EH6:EH7)</f>
        <v>-3761983.24</v>
      </c>
      <c r="EI5" s="127"/>
      <c r="EJ5" s="127">
        <f>SUM(DZ5:EH5)</f>
        <v>159876806.72547188</v>
      </c>
      <c r="EM5" s="27" t="s">
        <v>37</v>
      </c>
      <c r="EN5" s="127">
        <f>SUM(EN6:EN7)</f>
        <v>123518810.47569747</v>
      </c>
      <c r="EP5" s="127">
        <f>SUM(EP6:EP7)</f>
        <v>1520544.5799999998</v>
      </c>
      <c r="EQ5" s="127"/>
      <c r="ER5" s="129">
        <f>SUM(ER6:ER7)</f>
        <v>0</v>
      </c>
      <c r="ES5" s="127"/>
      <c r="ET5" s="127">
        <f>SUM(ET6:ET7)</f>
        <v>1147500</v>
      </c>
      <c r="EU5" s="127"/>
      <c r="EV5" s="127">
        <f>SUM(EV6:EV7)</f>
        <v>-3003638.7099999995</v>
      </c>
      <c r="EW5" s="127"/>
      <c r="EX5" s="127">
        <f>SUM(EN5:EV5)</f>
        <v>123183216.34569748</v>
      </c>
      <c r="FA5" s="27" t="s">
        <v>37</v>
      </c>
      <c r="FB5" s="127">
        <f>SUM(FB6:FB7)</f>
        <v>74867562.712016001</v>
      </c>
      <c r="FD5" s="127">
        <f>SUM(FD6:FD7)</f>
        <v>675281.2</v>
      </c>
      <c r="FE5" s="127"/>
      <c r="FF5" s="129">
        <f>SUM(FF6:FF7)</f>
        <v>0</v>
      </c>
      <c r="FG5" s="127"/>
      <c r="FH5" s="127">
        <f>SUM(FH6:FH7)</f>
        <v>843893.04</v>
      </c>
      <c r="FI5" s="127"/>
      <c r="FJ5" s="127">
        <f>SUM(FJ6:FJ7)</f>
        <v>-1498490.9420159999</v>
      </c>
      <c r="FK5" s="127"/>
      <c r="FL5" s="127">
        <f>SUM(FB5:FJ5)</f>
        <v>74888246.010000005</v>
      </c>
      <c r="FO5" s="27" t="s">
        <v>37</v>
      </c>
      <c r="FP5" s="127">
        <f>SUM(FP6:FP7)</f>
        <v>51477952.374033347</v>
      </c>
      <c r="FR5" s="127">
        <f>SUM(FR6:FR7)</f>
        <v>296281.90000000002</v>
      </c>
      <c r="FS5" s="127"/>
      <c r="FT5" s="129">
        <f>SUM(FT6:FT7)</f>
        <v>0</v>
      </c>
      <c r="FU5" s="127"/>
      <c r="FV5" s="127">
        <f>SUM(FV6:FV7)</f>
        <v>432872.51</v>
      </c>
      <c r="FW5" s="127"/>
      <c r="FX5" s="127">
        <f>SUM(FX6:FX7)</f>
        <v>-685905.80999999994</v>
      </c>
      <c r="FY5" s="127"/>
      <c r="FZ5" s="127">
        <f>SUM(FP5:FX5)</f>
        <v>51521200.974033341</v>
      </c>
      <c r="GC5" s="27" t="s">
        <v>37</v>
      </c>
      <c r="GD5" s="127">
        <f>SUM(GD6:GD7)</f>
        <v>32063834.739999998</v>
      </c>
      <c r="GF5" s="127">
        <f>SUM(GF6:GF7)</f>
        <v>1995998.6</v>
      </c>
      <c r="GG5" s="127"/>
      <c r="GH5" s="129">
        <f>SUM(GH6:GH7)</f>
        <v>0</v>
      </c>
      <c r="GI5" s="127"/>
      <c r="GJ5" s="127">
        <f>SUM(GJ6:GJ7)</f>
        <v>1814977.96</v>
      </c>
      <c r="GK5" s="127"/>
      <c r="GL5" s="127">
        <f>SUM(GL6:GL7)</f>
        <v>-4894694.97</v>
      </c>
      <c r="GM5" s="127"/>
      <c r="GN5" s="127">
        <f>SUM(GD5:GL5)</f>
        <v>30980116.329999998</v>
      </c>
      <c r="GQ5" s="27" t="s">
        <v>37</v>
      </c>
      <c r="GR5" s="127">
        <f>SUM(GR6:GR7)</f>
        <v>19622987.845609691</v>
      </c>
      <c r="GT5" s="127">
        <f>SUM(GT6:GT7)</f>
        <v>1604691.54</v>
      </c>
      <c r="GU5" s="127"/>
      <c r="GV5" s="129">
        <f>SUM(GV6:GV7)</f>
        <v>0</v>
      </c>
      <c r="GW5" s="127"/>
      <c r="GX5" s="127">
        <f>SUM(GX6:GX7)</f>
        <v>1382896.92</v>
      </c>
      <c r="GY5" s="127"/>
      <c r="GZ5" s="127">
        <f>SUM(GZ6:GZ7)</f>
        <v>-4193926.2099999995</v>
      </c>
      <c r="HA5" s="127"/>
      <c r="HB5" s="127">
        <f>SUM(GR5:GZ5)</f>
        <v>18416650.095609687</v>
      </c>
      <c r="HE5" s="27" t="s">
        <v>37</v>
      </c>
      <c r="HF5" s="127">
        <f>SUM(HF6:HF7)</f>
        <v>6008095.3899999997</v>
      </c>
      <c r="HH5" s="127">
        <f>SUM(HH6:HH7)</f>
        <v>1296541.2883000001</v>
      </c>
      <c r="HI5" s="127"/>
      <c r="HJ5" s="129">
        <f>SUM(HJ6:HJ7)</f>
        <v>0</v>
      </c>
      <c r="HK5" s="127"/>
      <c r="HL5" s="127">
        <f>SUM(HL6:HL7)</f>
        <v>900088.79</v>
      </c>
      <c r="HM5" s="127"/>
      <c r="HN5" s="127">
        <f>SUM(HN6:HN7)</f>
        <v>-2166499.63</v>
      </c>
      <c r="HO5" s="127"/>
      <c r="HP5" s="127">
        <f>SUM(HF5:HN5)</f>
        <v>6038225.8382999999</v>
      </c>
      <c r="HS5" s="27" t="s">
        <v>37</v>
      </c>
      <c r="HT5" s="127">
        <f>SUM(HT6:HT7)</f>
        <v>10435.66</v>
      </c>
      <c r="HV5" s="127">
        <f>SUM(HV6:HV7)</f>
        <v>256832.07</v>
      </c>
      <c r="HW5" s="127"/>
      <c r="HX5" s="129">
        <f>SUM(HX6:HX7)</f>
        <v>0</v>
      </c>
      <c r="HY5" s="127"/>
      <c r="HZ5" s="127">
        <f>SUM(HZ6:HZ7)</f>
        <v>411000</v>
      </c>
      <c r="IA5" s="127"/>
      <c r="IB5" s="127">
        <f>SUM(IB6:IB7)</f>
        <v>-656401.62</v>
      </c>
      <c r="IC5" s="127"/>
      <c r="ID5" s="127">
        <f>SUM(HT5:IB5)</f>
        <v>21866.109999999986</v>
      </c>
      <c r="IG5" s="27" t="s">
        <v>37</v>
      </c>
      <c r="IH5" s="127">
        <f>SUM(IH6:IH7)</f>
        <v>1040638.62</v>
      </c>
      <c r="IJ5" s="127">
        <f>SUM(IJ6:IJ7)</f>
        <v>2223204.0499999998</v>
      </c>
      <c r="IK5" s="127"/>
      <c r="IL5" s="129">
        <f>SUM(IL6:IL7)</f>
        <v>0</v>
      </c>
      <c r="IM5" s="127"/>
      <c r="IN5" s="127">
        <f>SUM(IN6:IN7)</f>
        <v>1644000</v>
      </c>
      <c r="IO5" s="127"/>
      <c r="IP5" s="127">
        <f>SUM(IP6:IP7)</f>
        <v>-2626347.64</v>
      </c>
      <c r="IQ5" s="127"/>
      <c r="IR5" s="127">
        <f>SUM(IH5:IP5)</f>
        <v>2281495.0299999998</v>
      </c>
      <c r="IU5" s="27" t="s">
        <v>37</v>
      </c>
      <c r="IV5" s="127">
        <f>SUM(IV6:IV7)</f>
        <v>930489.69</v>
      </c>
      <c r="IX5" s="127">
        <f>SUM(IX6:IX7)</f>
        <v>1957351.18</v>
      </c>
      <c r="IY5" s="127"/>
      <c r="IZ5" s="129">
        <f>SUM(IZ6:IZ7)</f>
        <v>0</v>
      </c>
      <c r="JA5" s="127"/>
      <c r="JB5" s="127">
        <f>SUM(JB6:JB7)</f>
        <v>1233000</v>
      </c>
      <c r="JC5" s="127"/>
      <c r="JD5" s="127">
        <f>SUM(JD6:JD7)</f>
        <v>-1973694.77</v>
      </c>
      <c r="JE5" s="127"/>
      <c r="JF5" s="127">
        <f>SUM(IV5:JD5)</f>
        <v>2147146.1</v>
      </c>
      <c r="JI5" s="27" t="s">
        <v>37</v>
      </c>
      <c r="JJ5" s="127">
        <f>SUM(JJ6:JJ7)</f>
        <v>884981.02</v>
      </c>
      <c r="JL5" s="127">
        <f>SUM(JL6:JL7)</f>
        <v>1142727.93</v>
      </c>
      <c r="JM5" s="127"/>
      <c r="JN5" s="129">
        <f>SUM(JN6:JN7)</f>
        <v>0</v>
      </c>
      <c r="JO5" s="127"/>
      <c r="JP5" s="127">
        <f>SUM(JP6:JP7)</f>
        <v>822000</v>
      </c>
      <c r="JQ5" s="127"/>
      <c r="JR5" s="127">
        <f>SUM(JR6:JR7)</f>
        <v>-1325650.56</v>
      </c>
      <c r="JS5" s="127"/>
      <c r="JT5" s="127">
        <f>SUM(JJ5:JR5)</f>
        <v>1524058.3900000001</v>
      </c>
      <c r="JW5" s="27" t="s">
        <v>37</v>
      </c>
      <c r="JX5" s="127">
        <f>SUM(JX6:JX7)</f>
        <v>854178.02</v>
      </c>
      <c r="JZ5" s="127">
        <f>SUM(JZ6:JZ7)</f>
        <v>598895.12</v>
      </c>
      <c r="KA5" s="127"/>
      <c r="KB5" s="129">
        <f>SUM(KB6:KB7)</f>
        <v>0</v>
      </c>
      <c r="KC5" s="127"/>
      <c r="KD5" s="127">
        <f>SUM(KD6:KD7)</f>
        <v>411000</v>
      </c>
      <c r="KE5" s="127"/>
      <c r="KF5" s="127">
        <f>SUM(KF6:KF7)</f>
        <v>-726512.56</v>
      </c>
      <c r="KG5" s="127"/>
      <c r="KH5" s="127">
        <f>SUM(JX5:KF5)</f>
        <v>1137560.58</v>
      </c>
      <c r="KK5" s="27" t="s">
        <v>37</v>
      </c>
      <c r="KL5" s="127">
        <f>SUM(KL6:KL7)</f>
        <v>184297.56</v>
      </c>
      <c r="KN5" s="127">
        <f>SUM(KN6:KN7)</f>
        <v>2720317.3</v>
      </c>
      <c r="KO5" s="127"/>
      <c r="KP5" s="129">
        <f>SUM(KP6:KP7)</f>
        <v>0</v>
      </c>
      <c r="KQ5" s="127"/>
      <c r="KR5" s="127">
        <f>SUM(KR6:KR7)</f>
        <v>1644000</v>
      </c>
      <c r="KS5" s="127"/>
      <c r="KT5" s="127">
        <f>SUM(KT6:KT7)</f>
        <v>-2689463.14</v>
      </c>
      <c r="KU5" s="127"/>
      <c r="KV5" s="127">
        <f>SUM(KL5:KT5)</f>
        <v>1859151.7199999993</v>
      </c>
      <c r="KY5" s="27" t="s">
        <v>37</v>
      </c>
      <c r="KZ5" s="127">
        <f>SUM(KZ6:KZ7)</f>
        <v>220689.84</v>
      </c>
      <c r="LB5" s="127">
        <f>SUM(LB6:LB7)</f>
        <v>2363470.5</v>
      </c>
      <c r="LC5" s="127"/>
      <c r="LD5" s="129">
        <f>SUM(LD6:LD7)</f>
        <v>0</v>
      </c>
      <c r="LE5" s="127"/>
      <c r="LF5" s="127">
        <f>SUM(LF6:LF7)</f>
        <v>1507500</v>
      </c>
      <c r="LG5" s="127"/>
      <c r="LH5" s="127">
        <f>SUM(LH6:LH7)</f>
        <v>-2292545.75</v>
      </c>
      <c r="LI5" s="127"/>
      <c r="LJ5" s="127">
        <f>SUM(KZ5:LH5)</f>
        <v>1799114.5899999999</v>
      </c>
      <c r="LM5" s="27" t="s">
        <v>37</v>
      </c>
      <c r="LN5" s="127">
        <f>SUM(LN6:LN7)</f>
        <v>204200.69</v>
      </c>
      <c r="LP5" s="127">
        <f>SUM(LP6:LP7)</f>
        <v>1820934.88</v>
      </c>
      <c r="LQ5" s="127"/>
      <c r="LR5" s="130">
        <f>SUM(LR6:LR7)</f>
        <v>0</v>
      </c>
      <c r="LS5" s="127"/>
      <c r="LT5" s="127">
        <f>SUM(LT6:LT7)</f>
        <v>1005000</v>
      </c>
      <c r="LU5" s="127"/>
      <c r="LV5" s="127">
        <f>SUM(LV6:LV7)</f>
        <v>-1555402.83</v>
      </c>
      <c r="LW5" s="127"/>
      <c r="LX5" s="127">
        <f>SUM(LN5:LV5)</f>
        <v>1474732.7399999998</v>
      </c>
      <c r="LZ5" s="27" t="s">
        <v>37</v>
      </c>
      <c r="MA5" s="127">
        <f>SUM(MA6:MA7)</f>
        <v>141395.35999999999</v>
      </c>
      <c r="MC5" s="127">
        <f>SUM(MC6:MC7)</f>
        <v>1105265.08</v>
      </c>
      <c r="MD5" s="127"/>
      <c r="ME5" s="130">
        <f>SUM(ME6:ME7)</f>
        <v>0</v>
      </c>
      <c r="MF5" s="127"/>
      <c r="MG5" s="127">
        <f>SUM(MG6:MG7)</f>
        <v>502500</v>
      </c>
      <c r="MH5" s="127"/>
      <c r="MI5" s="127">
        <f>SUM(MI6:MI7)</f>
        <v>-809949.09</v>
      </c>
      <c r="MJ5" s="127"/>
      <c r="MK5" s="127">
        <f>SUM(MA5:MI5)</f>
        <v>939211.35</v>
      </c>
      <c r="ML5" s="127"/>
      <c r="MM5" s="27" t="s">
        <v>37</v>
      </c>
      <c r="MN5" s="127">
        <f>SUM(MN6:MN7)</f>
        <v>434411.77</v>
      </c>
      <c r="MP5" s="127">
        <f>SUM(MP6:MP7)</f>
        <v>2619783.7199999997</v>
      </c>
      <c r="MQ5" s="127"/>
      <c r="MR5" s="129">
        <f>SUM(MR6:MR7)</f>
        <v>0</v>
      </c>
      <c r="MS5" s="127"/>
      <c r="MT5" s="127">
        <f>SUM(MT6:MT7)</f>
        <v>2010000</v>
      </c>
      <c r="MU5" s="127"/>
      <c r="MV5" s="127">
        <f>SUM(MV6:MV7)</f>
        <v>-2940906.23</v>
      </c>
      <c r="MW5" s="127"/>
      <c r="MX5" s="127">
        <f>SUM(MN5:MV5)</f>
        <v>2123289.2600000002</v>
      </c>
      <c r="NA5" s="27" t="s">
        <v>37</v>
      </c>
      <c r="NB5" s="127">
        <f>SUM(NB6:NB7)</f>
        <v>333703.44</v>
      </c>
      <c r="ND5" s="127">
        <f>SUM(ND6:ND7)</f>
        <v>2218103.81</v>
      </c>
      <c r="NE5" s="127"/>
      <c r="NF5" s="129">
        <f>SUM(NF6:NF7)</f>
        <v>0</v>
      </c>
      <c r="NG5" s="127"/>
      <c r="NH5" s="127">
        <f>SUM(NH6:NH7)</f>
        <v>1507500</v>
      </c>
      <c r="NI5" s="127"/>
      <c r="NJ5" s="127">
        <f>SUM(NJ6:NJ7)</f>
        <v>-2207498.04</v>
      </c>
      <c r="NK5" s="127"/>
      <c r="NL5" s="127">
        <f>SUM(NB5:NJ5)</f>
        <v>1851809.21</v>
      </c>
      <c r="NO5" s="27" t="s">
        <v>37</v>
      </c>
      <c r="NP5" s="127">
        <f>SUM(NP6:NP7)</f>
        <v>196371.68</v>
      </c>
      <c r="NR5" s="127">
        <f>SUM(NR6:NR7)</f>
        <v>1529139.9300000002</v>
      </c>
      <c r="NS5" s="127"/>
      <c r="NT5" s="130">
        <f>SUM(NT6:NT7)</f>
        <v>0</v>
      </c>
      <c r="NU5" s="127"/>
      <c r="NV5" s="127">
        <f>SUM(NV6:NV7)</f>
        <v>1005000</v>
      </c>
      <c r="NW5" s="127"/>
      <c r="NX5" s="127">
        <f>SUM(NX6:NX7)</f>
        <v>-1455703.65</v>
      </c>
      <c r="NY5" s="127"/>
      <c r="NZ5" s="127">
        <f>SUM(NP5:NX5)</f>
        <v>1274807.9600000004</v>
      </c>
      <c r="OB5" s="27" t="s">
        <v>37</v>
      </c>
      <c r="OC5" s="127">
        <f>SUM(OC6:OC7)</f>
        <v>120947.03</v>
      </c>
      <c r="OE5" s="127">
        <f>SUM(OE6:OE7)</f>
        <v>851124.16999999993</v>
      </c>
      <c r="OF5" s="127"/>
      <c r="OG5" s="130">
        <f>SUM(OG6:OG7)</f>
        <v>0</v>
      </c>
      <c r="OH5" s="127"/>
      <c r="OI5" s="127">
        <f>SUM(OI6:OI7)</f>
        <v>561000</v>
      </c>
      <c r="OJ5" s="127"/>
      <c r="OK5" s="127">
        <f>SUM(OK6:OK7)</f>
        <v>-814847.59</v>
      </c>
      <c r="OL5" s="127"/>
      <c r="OM5" s="127">
        <f>SUM(OC5:OK5)</f>
        <v>718223.61</v>
      </c>
      <c r="OO5" s="27" t="s">
        <v>37</v>
      </c>
      <c r="OP5" s="127">
        <f>SUM(OP6:OP7)</f>
        <v>616870.92000000004</v>
      </c>
      <c r="OR5" s="127">
        <f>SUM(OR6:OR7)</f>
        <v>6918435.3599999994</v>
      </c>
      <c r="OS5" s="127"/>
      <c r="OT5" s="130">
        <f>SUM(OT6:OT7)</f>
        <v>0</v>
      </c>
      <c r="OU5" s="127"/>
      <c r="OV5" s="127">
        <f>SUM(OV6:OV7)</f>
        <v>4557000</v>
      </c>
      <c r="OW5" s="127"/>
      <c r="OX5" s="127">
        <f>SUM(OX6:OX7)</f>
        <v>-7795050.3399999999</v>
      </c>
      <c r="OY5" s="127"/>
      <c r="OZ5" s="127">
        <f>SUM(OP5:OX5)</f>
        <v>4297255.9399999995</v>
      </c>
      <c r="PA5" s="131"/>
      <c r="PB5" s="27" t="s">
        <v>37</v>
      </c>
      <c r="PC5" s="127">
        <f>SUM(PC6:PC7)</f>
        <v>422473.72</v>
      </c>
      <c r="PE5" s="127">
        <f>SUM(PE6:PE7)</f>
        <v>5765750.6500000004</v>
      </c>
      <c r="PF5" s="127"/>
      <c r="PG5" s="132">
        <f>SUM(PG6:PG7)</f>
        <v>0</v>
      </c>
      <c r="PH5" s="127"/>
      <c r="PI5" s="127">
        <f>SUM(PI6:PI7)</f>
        <v>4986000</v>
      </c>
      <c r="PJ5" s="127"/>
      <c r="PK5" s="127">
        <f>SUM(PK6:PK7)</f>
        <v>-7923642.71</v>
      </c>
      <c r="PL5" s="127"/>
      <c r="PM5" s="127">
        <f>SUM(PC5:PK5)</f>
        <v>3250581.6600000011</v>
      </c>
      <c r="PN5" s="131"/>
      <c r="PO5" s="27" t="s">
        <v>37</v>
      </c>
      <c r="PP5" s="127">
        <f>SUM(PP6:PP7)</f>
        <v>342951.99</v>
      </c>
      <c r="PR5" s="127">
        <f>SUM(PR6:PR7)</f>
        <v>4720312.26</v>
      </c>
      <c r="PS5" s="127"/>
      <c r="PT5" s="132">
        <f>SUM(PT6:PT7)</f>
        <v>0</v>
      </c>
      <c r="PU5" s="127"/>
      <c r="PV5" s="127">
        <f>SUM(PV6:PV7)</f>
        <v>4215000</v>
      </c>
      <c r="PW5" s="127"/>
      <c r="PX5" s="127">
        <f>SUM(PX6:PX7)</f>
        <v>-6648388.4100000001</v>
      </c>
      <c r="PY5" s="127"/>
      <c r="PZ5" s="127">
        <f>SUM(PP5:PX5)</f>
        <v>2629875.84</v>
      </c>
      <c r="QA5" s="131"/>
      <c r="QB5" s="27" t="s">
        <v>37</v>
      </c>
      <c r="QC5" s="127">
        <f>SUM(QC6:QC7)</f>
        <v>253109.55</v>
      </c>
      <c r="QE5" s="127">
        <f>SUM(QE6:QE7)</f>
        <v>3650878.8899999997</v>
      </c>
      <c r="QF5" s="127"/>
      <c r="QG5" s="132">
        <f>SUM(QG6:QG7)</f>
        <v>0</v>
      </c>
      <c r="QH5" s="127"/>
      <c r="QI5" s="127">
        <f>SUM(QI6:QI7)</f>
        <v>3444000</v>
      </c>
      <c r="QJ5" s="127"/>
      <c r="QK5" s="127">
        <f>SUM(QK6:QK7)</f>
        <v>-5421114.4500000002</v>
      </c>
      <c r="QL5" s="127"/>
      <c r="QM5" s="127">
        <f>SUM(QC5:QK5)</f>
        <v>1926873.9899999993</v>
      </c>
      <c r="QN5" s="131"/>
      <c r="QO5" s="27" t="s">
        <v>37</v>
      </c>
      <c r="QP5" s="127">
        <f>SUM(QP6:QP7)</f>
        <v>0</v>
      </c>
      <c r="QR5" s="127">
        <f>SUM(QR6:QR7)</f>
        <v>2758534.12</v>
      </c>
      <c r="QS5" s="127"/>
      <c r="QT5" s="127">
        <f>SUM(QT6:QT7)</f>
        <v>149523.1</v>
      </c>
      <c r="QU5" s="127"/>
      <c r="QV5" s="127">
        <f>SUM(QV6:QV7)</f>
        <v>2583000</v>
      </c>
      <c r="QW5" s="127"/>
      <c r="QX5" s="127">
        <f>SUM(QX6:QX7)</f>
        <v>-4334805.1800000006</v>
      </c>
      <c r="QY5" s="127"/>
      <c r="QZ5" s="127">
        <f>SUM(QP5:QX5)</f>
        <v>1156252.04</v>
      </c>
      <c r="RA5" s="131"/>
      <c r="RB5" s="27" t="s">
        <v>37</v>
      </c>
      <c r="RC5" s="127">
        <f>SUM(RC6:RC7)</f>
        <v>0</v>
      </c>
      <c r="RE5" s="127">
        <f>SUM(RE6:RE7)</f>
        <v>2239644.1</v>
      </c>
      <c r="RF5" s="127"/>
      <c r="RG5" s="127">
        <f>SUM(RG6:RG7)</f>
        <v>120633.32</v>
      </c>
      <c r="RH5" s="127"/>
      <c r="RI5" s="127">
        <f>SUM(RI6:RI7)</f>
        <v>1722000</v>
      </c>
      <c r="RJ5" s="127"/>
      <c r="RK5" s="127">
        <f>SUM(RK6:RK7)</f>
        <v>-3341286.5</v>
      </c>
      <c r="RL5" s="127"/>
      <c r="RM5" s="127">
        <f>SUM(RC5:RK5)</f>
        <v>740990.91999999993</v>
      </c>
      <c r="RN5" s="131"/>
      <c r="RO5" s="27" t="s">
        <v>37</v>
      </c>
      <c r="RP5" s="127">
        <f>SUM(RP6:RP7)</f>
        <v>0</v>
      </c>
      <c r="RR5" s="127">
        <f>SUM(RR6:RR7)</f>
        <v>176658</v>
      </c>
      <c r="RS5" s="127"/>
      <c r="RT5" s="127">
        <f>SUM(RT6:RT7)</f>
        <v>64067.99</v>
      </c>
      <c r="RU5" s="127"/>
      <c r="RV5" s="127">
        <f>SUM(RV6:RV7)</f>
        <v>861000</v>
      </c>
      <c r="RW5" s="127"/>
      <c r="RX5" s="127">
        <f>SUM(RX6:RX7)</f>
        <v>-861000</v>
      </c>
      <c r="RY5" s="127"/>
      <c r="RZ5" s="127">
        <f>SUM(RP5:RX5)</f>
        <v>240725.99</v>
      </c>
      <c r="SA5" s="131"/>
      <c r="SB5" s="27" t="s">
        <v>37</v>
      </c>
      <c r="SC5" s="127">
        <f>SUM(SC6:SC7)</f>
        <v>0</v>
      </c>
      <c r="SE5" s="127">
        <f>SUM(SE6:SE7)</f>
        <v>4979478.0600000005</v>
      </c>
      <c r="SF5" s="127"/>
      <c r="SG5" s="127">
        <f>SUM(SG6:SG7)</f>
        <v>301786.23999999999</v>
      </c>
      <c r="SH5" s="127"/>
      <c r="SI5" s="127">
        <f>SUM(SI6:SI7)</f>
        <v>5273997.6900000013</v>
      </c>
      <c r="SJ5" s="127"/>
      <c r="SK5" s="127">
        <f>SUM(SK6:SK7)</f>
        <v>-9129617.870000001</v>
      </c>
      <c r="SL5" s="127"/>
      <c r="SM5" s="127">
        <f>SUM(SC5:SK5)</f>
        <v>1425644.120000001</v>
      </c>
      <c r="SN5" s="131"/>
      <c r="SO5" s="27" t="s">
        <v>37</v>
      </c>
      <c r="SP5" s="127">
        <f>SUM(SP6:SP7)</f>
        <v>0</v>
      </c>
      <c r="SR5" s="127">
        <f>SUM(SR6:SR7)</f>
        <v>1610165.82</v>
      </c>
      <c r="SS5" s="127"/>
      <c r="ST5" s="127">
        <f>SUM(ST6:ST7)</f>
        <v>197042.68</v>
      </c>
      <c r="SU5" s="127"/>
      <c r="SV5" s="127">
        <f>SUM(SV6:SV7)</f>
        <v>3644891.65</v>
      </c>
      <c r="SW5" s="127"/>
      <c r="SX5" s="127">
        <f>SUM(SX6:SX7)</f>
        <v>-4406411.83</v>
      </c>
      <c r="SY5" s="127"/>
      <c r="SZ5" s="127">
        <f>SUM(SP5:SX5)</f>
        <v>1045688.3200000003</v>
      </c>
      <c r="TA5" s="131"/>
      <c r="TB5" s="27" t="s">
        <v>37</v>
      </c>
      <c r="TC5" s="127">
        <f>SUM(TC6:TC7)</f>
        <v>0</v>
      </c>
      <c r="TE5" s="127">
        <f>SUM(TE6:TE7)</f>
        <v>1298197.29</v>
      </c>
      <c r="TF5" s="127"/>
      <c r="TG5" s="127">
        <f>SUM(TG6:TG7)</f>
        <v>287685.51</v>
      </c>
      <c r="TH5" s="127"/>
      <c r="TI5" s="127">
        <f>SUM(TI6:TI7)</f>
        <v>2427774.9899999998</v>
      </c>
      <c r="TJ5" s="127"/>
      <c r="TK5" s="127">
        <f>SUM(TK6:TK7)</f>
        <v>-3351894.6799999997</v>
      </c>
      <c r="TL5" s="128"/>
      <c r="TM5" s="127">
        <f>SUM(TC5:TK5)</f>
        <v>661763.11000000034</v>
      </c>
      <c r="TN5" s="131"/>
      <c r="TO5" s="27" t="s">
        <v>37</v>
      </c>
      <c r="TP5" s="127">
        <f>SUM(TP6:TP7)</f>
        <v>0</v>
      </c>
      <c r="TR5" s="127">
        <f>SUM(TR6:TR7)</f>
        <v>192012.93</v>
      </c>
      <c r="TS5" s="127"/>
      <c r="TT5" s="127">
        <f>SUM(TT6:TT7)</f>
        <v>94312.290000000008</v>
      </c>
      <c r="TU5" s="127"/>
      <c r="TV5" s="127">
        <f>SUM(TV6:TV7)</f>
        <v>810000</v>
      </c>
      <c r="TW5" s="127"/>
      <c r="TX5" s="127">
        <f>SUM(TX6:TX7)</f>
        <v>-910500</v>
      </c>
      <c r="TY5" s="128"/>
      <c r="TZ5" s="127">
        <f>SUM(TP5:TX5)</f>
        <v>185825.21999999997</v>
      </c>
      <c r="UA5" s="131"/>
      <c r="UB5" s="27" t="s">
        <v>37</v>
      </c>
      <c r="UC5" s="127">
        <f>SUM(UC6:UC7)</f>
        <v>44000</v>
      </c>
      <c r="UE5" s="127">
        <f>SUM(UE6:UE7)</f>
        <v>1655515.45</v>
      </c>
      <c r="UF5" s="127"/>
      <c r="UG5" s="127">
        <f>SUM(UG6:UG7)</f>
        <v>1026449.96</v>
      </c>
      <c r="UH5" s="127"/>
      <c r="UI5" s="127">
        <f>SUM(UI6:UI7)</f>
        <v>4736400</v>
      </c>
      <c r="UJ5" s="127"/>
      <c r="UK5" s="127">
        <f>SUM(UK6:UK7)</f>
        <v>-6559715.7699999996</v>
      </c>
      <c r="UL5" s="127"/>
      <c r="UM5" s="127">
        <f>SUM(UC5:UK5)</f>
        <v>902649.6400000006</v>
      </c>
      <c r="UN5" s="131"/>
      <c r="UO5" s="27" t="s">
        <v>37</v>
      </c>
      <c r="UP5" s="127">
        <f>SUM(UP6:UP7)</f>
        <v>44000</v>
      </c>
      <c r="UR5" s="127">
        <f>SUM(UR6:UR7)</f>
        <v>679833.55</v>
      </c>
      <c r="US5" s="127"/>
      <c r="UT5" s="127">
        <f>SUM(UT6:UT7)</f>
        <v>810699.16</v>
      </c>
      <c r="UU5" s="127">
        <f>SUM(UU6:UU7)</f>
        <v>0</v>
      </c>
      <c r="UV5" s="127">
        <f>SUM(UV6:UV7)</f>
        <v>3552300</v>
      </c>
      <c r="UW5" s="127"/>
      <c r="UX5" s="127">
        <f>SUM(UX6:UX7)</f>
        <v>-4212454.7699999996</v>
      </c>
      <c r="UY5" s="127"/>
      <c r="UZ5" s="127">
        <f>SUM(UP5:UX5)</f>
        <v>874377.94000000041</v>
      </c>
      <c r="VA5" s="131"/>
      <c r="VB5" s="131" t="s">
        <v>37</v>
      </c>
      <c r="VC5" s="127">
        <v>9411546.620000001</v>
      </c>
      <c r="VE5" s="127">
        <v>5933718.8399999999</v>
      </c>
      <c r="VF5" s="127"/>
      <c r="VG5" s="127">
        <v>1815596.29</v>
      </c>
      <c r="VH5" s="127"/>
      <c r="VI5" s="127">
        <v>2368200</v>
      </c>
      <c r="VJ5" s="127"/>
      <c r="VK5" s="127">
        <v>-2479309.77</v>
      </c>
      <c r="VL5" s="128"/>
      <c r="VM5" s="127">
        <v>17049751.98</v>
      </c>
      <c r="VN5" s="131"/>
      <c r="VO5" s="131" t="s">
        <v>37</v>
      </c>
      <c r="VP5" s="127">
        <f>6412.43807*1000</f>
        <v>6412438.0700000003</v>
      </c>
      <c r="VR5" s="127">
        <f>2820.8894*1000</f>
        <v>2820889.4</v>
      </c>
      <c r="VS5" s="127"/>
      <c r="VT5" s="127">
        <f>828.98882*1000</f>
        <v>828988.82000000007</v>
      </c>
      <c r="VU5" s="127"/>
      <c r="VV5" s="127">
        <f>1205.1*1000</f>
        <v>1205100</v>
      </c>
      <c r="VW5" s="127"/>
      <c r="VX5" s="127">
        <f>-1190.69728*1000</f>
        <v>-1190697.28</v>
      </c>
      <c r="VY5" s="128"/>
      <c r="VZ5" s="127">
        <f>10076.71901*1000</f>
        <v>10076719.010000002</v>
      </c>
      <c r="WA5" s="131"/>
      <c r="WB5" s="27" t="s">
        <v>37</v>
      </c>
      <c r="WC5" s="127">
        <f>SUM(WC6:WC7)</f>
        <v>0</v>
      </c>
      <c r="WE5" s="127">
        <f>SUM(WE6:WE7)</f>
        <v>0</v>
      </c>
      <c r="WF5" s="127"/>
      <c r="WG5" s="127">
        <f>SUM(WG6:WG7)</f>
        <v>1349054.24</v>
      </c>
      <c r="WH5" s="127"/>
      <c r="WI5" s="127">
        <f>SUM(WI6:WI7)</f>
        <v>4932601.24</v>
      </c>
      <c r="WJ5" s="127"/>
      <c r="WK5" s="127">
        <f>SUM(WK6:WK7)</f>
        <v>-5821897.2400000002</v>
      </c>
      <c r="WL5" s="127"/>
      <c r="WM5" s="127">
        <f>SUM(WC5:WK5)</f>
        <v>459758.24000000022</v>
      </c>
      <c r="WN5" s="131"/>
      <c r="WO5" s="27" t="s">
        <v>37</v>
      </c>
      <c r="WP5" s="127">
        <f>SUM(WP6:WP7)</f>
        <v>0</v>
      </c>
      <c r="WR5" s="127">
        <f>SUM(WR6:WR7)</f>
        <v>0</v>
      </c>
      <c r="WS5" s="127"/>
      <c r="WT5" s="127">
        <f>SUM(WT6:WT7)</f>
        <v>0</v>
      </c>
      <c r="WU5" s="127">
        <f>SUM(WU6:WU7)</f>
        <v>0</v>
      </c>
      <c r="WV5" s="127">
        <f>SUM(WV6:WV7)</f>
        <v>3733356.6500000004</v>
      </c>
      <c r="WW5" s="127"/>
      <c r="WX5" s="127">
        <f>SUM(WX6:WX7)</f>
        <v>-3733356.6500000004</v>
      </c>
      <c r="WY5" s="127"/>
      <c r="WZ5" s="127">
        <f>SUM(WP5:WX5)</f>
        <v>0</v>
      </c>
      <c r="XA5" s="131"/>
      <c r="XB5" s="131" t="s">
        <v>37</v>
      </c>
      <c r="XC5" s="127">
        <v>16513477.060000004</v>
      </c>
      <c r="XE5" s="127">
        <v>8644102.6699999999</v>
      </c>
      <c r="XF5" s="127"/>
      <c r="XG5" s="127">
        <v>2301109.0000000005</v>
      </c>
      <c r="XH5" s="127"/>
      <c r="XI5" s="127">
        <v>2543853.9900000002</v>
      </c>
      <c r="XJ5" s="127"/>
      <c r="XK5" s="127">
        <v>-2543853.9900000002</v>
      </c>
      <c r="XL5" s="128"/>
      <c r="XM5" s="127">
        <v>27458688.730000004</v>
      </c>
      <c r="XN5" s="127"/>
      <c r="XO5" s="131" t="s">
        <v>37</v>
      </c>
      <c r="XP5" s="127">
        <f>3619.48825*1000</f>
        <v>3619488.25</v>
      </c>
      <c r="XR5" s="127">
        <f>4043.02909*1000</f>
        <v>4043029.09</v>
      </c>
      <c r="XS5" s="127"/>
      <c r="XT5" s="127">
        <f>1172.86223*1000</f>
        <v>1172862.23</v>
      </c>
      <c r="XU5" s="127">
        <v>0</v>
      </c>
      <c r="XV5" s="127">
        <f>1223.60773*1000</f>
        <v>1223607.73</v>
      </c>
      <c r="XW5" s="127"/>
      <c r="XX5" s="127">
        <f>-1223.60773*1000</f>
        <v>-1223607.73</v>
      </c>
      <c r="XY5" s="128"/>
      <c r="XZ5" s="127">
        <f>8835.37957*1000</f>
        <v>8835379.5699999984</v>
      </c>
      <c r="YA5" s="127"/>
      <c r="YB5" s="131" t="s">
        <v>37</v>
      </c>
      <c r="YC5" s="127">
        <f>SUM(YC6:YC7)</f>
        <v>0</v>
      </c>
      <c r="YE5" s="127">
        <f>SUM(YE6:YE7)</f>
        <v>0</v>
      </c>
      <c r="YF5" s="127"/>
      <c r="YG5" s="127">
        <f>SUM(YG6:YG7)</f>
        <v>129738.63</v>
      </c>
      <c r="YH5" s="127"/>
      <c r="YI5" s="127">
        <f>SUM(YI6:YI7)</f>
        <v>5247162.6722908253</v>
      </c>
      <c r="YJ5" s="127">
        <f>SUM(YJ6:YJ7)</f>
        <v>0</v>
      </c>
      <c r="YK5" s="127">
        <f>SUM(YK6:YK7)</f>
        <v>-5247162.6722908253</v>
      </c>
      <c r="YL5" s="128"/>
      <c r="YM5" s="127">
        <f>SUM(YC5:YK5)</f>
        <v>129738.62999999989</v>
      </c>
      <c r="YN5" s="127"/>
      <c r="YO5" s="27" t="s">
        <v>37</v>
      </c>
      <c r="YP5" s="127">
        <f>SUM(YP6:YP7)</f>
        <v>0</v>
      </c>
      <c r="YR5" s="127">
        <f>SUM(YR6:YR7)</f>
        <v>0</v>
      </c>
      <c r="YS5" s="127"/>
      <c r="YT5" s="127">
        <f>SUM(YT6:YT7)</f>
        <v>0</v>
      </c>
      <c r="YU5" s="127"/>
      <c r="YV5" s="127">
        <f>SUM(YV6:YV7)</f>
        <v>3988162.46</v>
      </c>
      <c r="YW5" s="127">
        <f>SUM(YW6:YW7)</f>
        <v>0</v>
      </c>
      <c r="YX5" s="127">
        <f>SUM(YX6:YX7)</f>
        <v>-3988162.46</v>
      </c>
      <c r="YY5" s="128"/>
      <c r="YZ5" s="127">
        <f>SUM(YP5:YX5)</f>
        <v>0</v>
      </c>
    </row>
    <row r="6" spans="1:676">
      <c r="A6" s="10" t="s">
        <v>39</v>
      </c>
      <c r="B6" s="2">
        <v>182640054.75999999</v>
      </c>
      <c r="C6" s="70"/>
      <c r="D6" s="2">
        <v>1092590.02</v>
      </c>
      <c r="E6" s="61"/>
      <c r="F6" s="2">
        <v>0</v>
      </c>
      <c r="G6" s="61"/>
      <c r="H6" s="2">
        <v>0</v>
      </c>
      <c r="I6" s="61"/>
      <c r="J6" s="2">
        <v>0</v>
      </c>
      <c r="K6" s="61"/>
      <c r="L6" s="2">
        <v>0</v>
      </c>
      <c r="M6" s="61"/>
      <c r="N6" s="71">
        <f t="shared" ref="N6:N7" si="0">SUM(B6:L6)</f>
        <v>183732644.78</v>
      </c>
      <c r="Q6" s="10" t="s">
        <v>39</v>
      </c>
      <c r="R6" s="2">
        <v>135388830.28069648</v>
      </c>
      <c r="S6" s="70"/>
      <c r="T6" s="2">
        <v>1042684.1099999999</v>
      </c>
      <c r="U6" s="61"/>
      <c r="V6" s="2">
        <v>0</v>
      </c>
      <c r="W6" s="2"/>
      <c r="X6" s="2">
        <v>0</v>
      </c>
      <c r="Y6" s="61"/>
      <c r="Z6" s="2">
        <v>0</v>
      </c>
      <c r="AA6" s="61"/>
      <c r="AB6" s="2">
        <v>0</v>
      </c>
      <c r="AC6" s="61"/>
      <c r="AD6" s="48">
        <f t="shared" ref="AD6:AD7" si="1">SUM(R6:AB6)</f>
        <v>136431514.3906965</v>
      </c>
      <c r="AG6" s="10" t="s">
        <v>39</v>
      </c>
      <c r="AH6" s="2">
        <v>90807626.110000044</v>
      </c>
      <c r="AI6" s="70"/>
      <c r="AJ6" s="2">
        <v>334424.57</v>
      </c>
      <c r="AK6" s="61"/>
      <c r="AL6" s="2">
        <v>0</v>
      </c>
      <c r="AM6" s="2"/>
      <c r="AN6" s="2">
        <v>0</v>
      </c>
      <c r="AO6" s="61"/>
      <c r="AP6" s="2">
        <v>0</v>
      </c>
      <c r="AQ6" s="61"/>
      <c r="AR6" s="2">
        <v>0</v>
      </c>
      <c r="AS6" s="61"/>
      <c r="AT6" s="48">
        <f t="shared" ref="AT6:AT7" si="2">SUM(AH6:AR6)</f>
        <v>91142050.680000037</v>
      </c>
      <c r="AW6" s="10" t="s">
        <v>39</v>
      </c>
      <c r="AX6" s="2">
        <v>33076802.286003672</v>
      </c>
      <c r="AY6" s="70"/>
      <c r="AZ6" s="2">
        <v>51606.26</v>
      </c>
      <c r="BA6" s="61"/>
      <c r="BB6" s="2">
        <v>0</v>
      </c>
      <c r="BC6" s="2"/>
      <c r="BD6" s="2">
        <v>0</v>
      </c>
      <c r="BE6" s="61"/>
      <c r="BF6" s="2">
        <v>0</v>
      </c>
      <c r="BG6" s="61"/>
      <c r="BH6" s="2">
        <v>0</v>
      </c>
      <c r="BI6" s="61"/>
      <c r="BJ6" s="71">
        <f>SUM(AX6:BH6)</f>
        <v>33128408.546003673</v>
      </c>
      <c r="BM6" s="10" t="s">
        <v>39</v>
      </c>
      <c r="BN6" s="2">
        <v>152545044.57927001</v>
      </c>
      <c r="BO6" s="70"/>
      <c r="BP6" s="2">
        <v>394331.99</v>
      </c>
      <c r="BQ6" s="61"/>
      <c r="BR6" s="2">
        <v>0</v>
      </c>
      <c r="BS6" s="61"/>
      <c r="BT6" s="2">
        <v>0</v>
      </c>
      <c r="BU6" s="61"/>
      <c r="BV6" s="2">
        <v>0</v>
      </c>
      <c r="BW6" s="61"/>
      <c r="BX6" s="2">
        <v>0</v>
      </c>
      <c r="BY6" s="61"/>
      <c r="BZ6" s="71">
        <f>SUM(BN6:BX6)</f>
        <v>152939376.56927001</v>
      </c>
      <c r="CC6" s="10" t="s">
        <v>39</v>
      </c>
      <c r="CD6" s="2">
        <v>133011418.20832232</v>
      </c>
      <c r="CE6" s="70"/>
      <c r="CF6" s="2">
        <v>363260.7</v>
      </c>
      <c r="CG6" s="61"/>
      <c r="CH6" s="2">
        <v>0</v>
      </c>
      <c r="CI6" s="2"/>
      <c r="CJ6" s="2">
        <v>0</v>
      </c>
      <c r="CK6" s="61"/>
      <c r="CL6" s="2">
        <v>0</v>
      </c>
      <c r="CM6" s="61"/>
      <c r="CN6" s="2">
        <v>0</v>
      </c>
      <c r="CO6" s="61"/>
      <c r="CP6" s="71">
        <f>SUM(CD6:CN6)</f>
        <v>133374678.90832232</v>
      </c>
      <c r="CS6" s="10" t="s">
        <v>39</v>
      </c>
      <c r="CT6" s="2">
        <v>89327029.579999968</v>
      </c>
      <c r="CU6" s="70"/>
      <c r="CV6" s="2">
        <v>100976.88</v>
      </c>
      <c r="CW6" s="61"/>
      <c r="CX6" s="2">
        <v>0</v>
      </c>
      <c r="CY6" s="2"/>
      <c r="CZ6" s="2">
        <v>0</v>
      </c>
      <c r="DA6" s="61"/>
      <c r="DB6" s="2">
        <v>0</v>
      </c>
      <c r="DC6" s="61"/>
      <c r="DD6" s="2">
        <v>0</v>
      </c>
      <c r="DE6" s="61"/>
      <c r="DF6" s="71">
        <f>SUM(CT6:DD6)</f>
        <v>89428006.459999964</v>
      </c>
      <c r="DI6" s="10" t="s">
        <v>39</v>
      </c>
      <c r="DJ6" s="2">
        <v>60297185.680958994</v>
      </c>
      <c r="DK6" s="70"/>
      <c r="DL6" s="2">
        <v>30294.42</v>
      </c>
      <c r="DM6" s="61"/>
      <c r="DN6" s="2">
        <v>0</v>
      </c>
      <c r="DO6" s="2"/>
      <c r="DP6" s="2">
        <v>0</v>
      </c>
      <c r="DQ6" s="61"/>
      <c r="DR6" s="2">
        <v>0</v>
      </c>
      <c r="DS6" s="61"/>
      <c r="DT6" s="2">
        <v>0</v>
      </c>
      <c r="DU6" s="61"/>
      <c r="DV6" s="71">
        <f>SUM(DJ6:DT6)</f>
        <v>60327480.100958996</v>
      </c>
      <c r="DY6" s="10" t="s">
        <v>39</v>
      </c>
      <c r="DZ6" s="61">
        <v>159728472.32547191</v>
      </c>
      <c r="EA6" s="70"/>
      <c r="EB6" s="61">
        <v>148334.39999999999</v>
      </c>
      <c r="EC6" s="61"/>
      <c r="ED6" s="61">
        <v>0</v>
      </c>
      <c r="EE6" s="61"/>
      <c r="EF6" s="61">
        <v>0</v>
      </c>
      <c r="EG6" s="61"/>
      <c r="EH6" s="61">
        <v>0</v>
      </c>
      <c r="EI6" s="61"/>
      <c r="EJ6" s="71">
        <f>SUM(DZ6:EH6)</f>
        <v>159876806.72547191</v>
      </c>
      <c r="EM6" s="10" t="s">
        <v>39</v>
      </c>
      <c r="EN6" s="2">
        <v>123071184.43569747</v>
      </c>
      <c r="EO6" s="11"/>
      <c r="EP6" s="2">
        <v>112031.91</v>
      </c>
      <c r="ER6" s="2">
        <v>0</v>
      </c>
      <c r="ET6" s="2">
        <v>0</v>
      </c>
      <c r="EV6" s="2">
        <v>0</v>
      </c>
      <c r="EX6" s="48">
        <f>SUM(EN6:EV6)</f>
        <v>123183216.34569746</v>
      </c>
      <c r="FA6" s="10" t="s">
        <v>39</v>
      </c>
      <c r="FB6" s="2">
        <v>74794043.200000003</v>
      </c>
      <c r="FC6" s="11"/>
      <c r="FD6" s="2">
        <v>94202.81</v>
      </c>
      <c r="FF6" s="2">
        <v>0</v>
      </c>
      <c r="FH6" s="2">
        <v>0</v>
      </c>
      <c r="FJ6" s="2">
        <v>0</v>
      </c>
      <c r="FL6" s="48">
        <f>SUM(FB6:FJ6)</f>
        <v>74888246.010000005</v>
      </c>
      <c r="FO6" s="10" t="s">
        <v>39</v>
      </c>
      <c r="FP6" s="2">
        <v>51477952.374033347</v>
      </c>
      <c r="FQ6" s="11"/>
      <c r="FR6" s="2">
        <v>43248.6</v>
      </c>
      <c r="FT6" s="2">
        <v>0</v>
      </c>
      <c r="FV6" s="2">
        <v>0</v>
      </c>
      <c r="FX6" s="2">
        <v>0</v>
      </c>
      <c r="FZ6" s="48">
        <f>SUM(FP6:FX6)</f>
        <v>51521200.974033348</v>
      </c>
      <c r="GC6" s="10" t="s">
        <v>39</v>
      </c>
      <c r="GD6" s="2">
        <v>30784549.959999997</v>
      </c>
      <c r="GE6" s="11"/>
      <c r="GF6" s="2">
        <v>195566.37</v>
      </c>
      <c r="GH6" s="2">
        <v>0</v>
      </c>
      <c r="GJ6" s="2">
        <v>0</v>
      </c>
      <c r="GL6" s="2">
        <v>0</v>
      </c>
      <c r="GN6" s="48">
        <f>SUM(GD6:GL6)</f>
        <v>30980116.329999998</v>
      </c>
      <c r="GQ6" s="10" t="s">
        <v>39</v>
      </c>
      <c r="GR6" s="2">
        <v>18343703.06560969</v>
      </c>
      <c r="GS6" s="11"/>
      <c r="GT6" s="2">
        <v>72947.03</v>
      </c>
      <c r="GV6" s="2">
        <v>0</v>
      </c>
      <c r="GX6" s="2">
        <v>0</v>
      </c>
      <c r="GZ6" s="2">
        <v>0</v>
      </c>
      <c r="HB6" s="48">
        <f>SUM(GR6:GZ6)</f>
        <v>18416650.095609691</v>
      </c>
      <c r="HE6" s="10" t="s">
        <v>39</v>
      </c>
      <c r="HF6" s="2">
        <v>6008095.3899999997</v>
      </c>
      <c r="HG6" s="11"/>
      <c r="HH6" s="2">
        <v>30130.4483</v>
      </c>
      <c r="HJ6" s="2">
        <v>0</v>
      </c>
      <c r="HL6" s="2">
        <v>0</v>
      </c>
      <c r="HN6" s="2">
        <v>0</v>
      </c>
      <c r="HP6" s="48">
        <f>SUM(HF6:HN6)</f>
        <v>6038225.8382999999</v>
      </c>
      <c r="HS6" s="10" t="s">
        <v>39</v>
      </c>
      <c r="HT6" s="2">
        <v>10435.66</v>
      </c>
      <c r="HU6" s="11"/>
      <c r="HV6" s="2">
        <v>11430.45</v>
      </c>
      <c r="HX6" s="2">
        <v>0</v>
      </c>
      <c r="HZ6" s="2">
        <v>0</v>
      </c>
      <c r="IB6" s="2">
        <v>0</v>
      </c>
      <c r="ID6" s="48">
        <f>SUM(HT6:IB6)</f>
        <v>21866.11</v>
      </c>
      <c r="IG6" s="10" t="s">
        <v>39</v>
      </c>
      <c r="IH6" s="2">
        <v>1040638.62</v>
      </c>
      <c r="II6" s="11"/>
      <c r="IJ6" s="2">
        <v>1240856.4099999999</v>
      </c>
      <c r="IL6" s="2">
        <v>0</v>
      </c>
      <c r="IN6" s="2">
        <v>0</v>
      </c>
      <c r="IP6" s="2">
        <v>0</v>
      </c>
      <c r="IR6" s="48">
        <f>SUM(IH6:IP6)</f>
        <v>2281495.0299999998</v>
      </c>
      <c r="IU6" s="10" t="s">
        <v>39</v>
      </c>
      <c r="IV6" s="2">
        <v>930489.69</v>
      </c>
      <c r="IW6" s="11"/>
      <c r="IX6" s="2">
        <v>1216656.4099999999</v>
      </c>
      <c r="IZ6" s="2">
        <v>0</v>
      </c>
      <c r="JB6" s="2">
        <v>0</v>
      </c>
      <c r="JD6" s="2">
        <v>0</v>
      </c>
      <c r="JF6" s="48">
        <f>SUM(IV6:JD6)</f>
        <v>2147146.0999999996</v>
      </c>
      <c r="JI6" s="10" t="s">
        <v>39</v>
      </c>
      <c r="JJ6" s="2">
        <v>884981.02</v>
      </c>
      <c r="JK6" s="11"/>
      <c r="JL6" s="2">
        <v>639077.37</v>
      </c>
      <c r="JN6" s="2">
        <v>0</v>
      </c>
      <c r="JP6" s="2">
        <v>0</v>
      </c>
      <c r="JR6" s="2">
        <v>0</v>
      </c>
      <c r="JT6" s="48">
        <f>SUM(JJ6:JR6)</f>
        <v>1524058.3900000001</v>
      </c>
      <c r="JW6" s="10" t="s">
        <v>39</v>
      </c>
      <c r="JX6" s="2">
        <v>854178.02</v>
      </c>
      <c r="JY6" s="11"/>
      <c r="JZ6" s="2">
        <v>362207.85</v>
      </c>
      <c r="KB6" s="2">
        <v>0</v>
      </c>
      <c r="KD6" s="2">
        <v>0</v>
      </c>
      <c r="KF6" s="2">
        <v>0</v>
      </c>
      <c r="KH6" s="48">
        <f>SUM(JX6:KF6)</f>
        <v>1216385.8700000001</v>
      </c>
      <c r="KK6" s="10" t="s">
        <v>39</v>
      </c>
      <c r="KL6" s="2">
        <v>184297.56</v>
      </c>
      <c r="KM6" s="11"/>
      <c r="KN6" s="2">
        <v>1674854.16</v>
      </c>
      <c r="KP6" s="2">
        <v>0</v>
      </c>
      <c r="KR6" s="2">
        <v>0</v>
      </c>
      <c r="KT6" s="2">
        <v>0</v>
      </c>
      <c r="KV6" s="48">
        <f>SUM(KL6:KT6)</f>
        <v>1859151.72</v>
      </c>
      <c r="KY6" s="10" t="s">
        <v>39</v>
      </c>
      <c r="KZ6" s="2">
        <v>220689.84</v>
      </c>
      <c r="LA6" s="11"/>
      <c r="LB6" s="2">
        <v>1578424.75</v>
      </c>
      <c r="LD6" s="2">
        <v>0</v>
      </c>
      <c r="LF6" s="2">
        <v>0</v>
      </c>
      <c r="LH6" s="2">
        <v>0</v>
      </c>
      <c r="LJ6" s="48">
        <f>SUM(KZ6:LH6)</f>
        <v>1799114.59</v>
      </c>
      <c r="LM6" s="10" t="s">
        <v>39</v>
      </c>
      <c r="LN6" s="2">
        <v>204200.69</v>
      </c>
      <c r="LO6" s="11"/>
      <c r="LP6" s="2">
        <v>1270532.05</v>
      </c>
      <c r="LR6" s="2">
        <v>0</v>
      </c>
      <c r="LT6" s="2">
        <v>0</v>
      </c>
      <c r="LV6" s="2">
        <v>0</v>
      </c>
      <c r="LX6" s="48">
        <f>SUM(LN6:LV6)</f>
        <v>1474732.74</v>
      </c>
      <c r="LZ6" s="10" t="s">
        <v>39</v>
      </c>
      <c r="MA6" s="2">
        <v>141395.35999999999</v>
      </c>
      <c r="MB6" s="11"/>
      <c r="MC6" s="2">
        <v>797815.99</v>
      </c>
      <c r="ME6" s="53">
        <v>0</v>
      </c>
      <c r="MG6" s="2">
        <v>0</v>
      </c>
      <c r="MI6" s="2">
        <v>0</v>
      </c>
      <c r="MK6" s="48">
        <f>SUM(MA6:MI6)</f>
        <v>939211.35</v>
      </c>
      <c r="ML6" s="8"/>
      <c r="MM6" s="10" t="s">
        <v>39</v>
      </c>
      <c r="MN6" s="2">
        <v>434411.77</v>
      </c>
      <c r="MO6" s="11"/>
      <c r="MP6" s="2">
        <v>1688877.4899999998</v>
      </c>
      <c r="MR6" s="2">
        <v>0</v>
      </c>
      <c r="MT6" s="2">
        <v>0</v>
      </c>
      <c r="MV6" s="2">
        <v>0</v>
      </c>
      <c r="MX6" s="48">
        <f>SUM(MN6:MV6)</f>
        <v>2123289.2599999998</v>
      </c>
      <c r="NA6" s="10" t="s">
        <v>39</v>
      </c>
      <c r="NB6" s="2">
        <v>333703.44</v>
      </c>
      <c r="NC6" s="11"/>
      <c r="ND6" s="2">
        <v>1518105.77</v>
      </c>
      <c r="NF6" s="2">
        <v>0</v>
      </c>
      <c r="NH6" s="2">
        <v>0</v>
      </c>
      <c r="NJ6" s="2">
        <v>0</v>
      </c>
      <c r="NL6" s="48">
        <f>SUM(NB6:NJ6)</f>
        <v>1851809.21</v>
      </c>
      <c r="NO6" s="10" t="s">
        <v>39</v>
      </c>
      <c r="NP6" s="2">
        <v>196371.68</v>
      </c>
      <c r="NQ6" s="11"/>
      <c r="NR6" s="2">
        <v>1078436.28</v>
      </c>
      <c r="NT6" s="2">
        <v>0</v>
      </c>
      <c r="NV6" s="2">
        <v>0</v>
      </c>
      <c r="NX6" s="2">
        <v>0</v>
      </c>
      <c r="NZ6" s="48">
        <f>SUM(NP6:NX6)</f>
        <v>1274807.96</v>
      </c>
      <c r="OB6" s="10" t="s">
        <v>39</v>
      </c>
      <c r="OC6" s="2">
        <v>120947.03</v>
      </c>
      <c r="OD6" s="11"/>
      <c r="OE6" s="2">
        <v>597276.57999999996</v>
      </c>
      <c r="OG6" s="53">
        <v>0</v>
      </c>
      <c r="OI6" s="2">
        <v>0</v>
      </c>
      <c r="OK6" s="2">
        <v>0</v>
      </c>
      <c r="OM6" s="48">
        <f>SUM(OC6:OK6)</f>
        <v>718223.61</v>
      </c>
      <c r="OO6" s="10" t="s">
        <v>39</v>
      </c>
      <c r="OP6" s="2">
        <v>616870.92000000004</v>
      </c>
      <c r="OQ6" s="11">
        <v>0</v>
      </c>
      <c r="OR6" s="2">
        <v>3680385.02</v>
      </c>
      <c r="OT6" s="2">
        <v>0</v>
      </c>
      <c r="OV6" s="2">
        <v>0</v>
      </c>
      <c r="OX6" s="2">
        <v>0</v>
      </c>
      <c r="OZ6" s="48">
        <f>SUM(OP6:OX6)</f>
        <v>4297255.9400000004</v>
      </c>
      <c r="PA6" s="26"/>
      <c r="PB6" s="10" t="s">
        <v>39</v>
      </c>
      <c r="PC6" s="2">
        <v>422473.72</v>
      </c>
      <c r="PD6" s="11"/>
      <c r="PE6" s="2">
        <v>2828107.94</v>
      </c>
      <c r="PG6" s="39">
        <v>0</v>
      </c>
      <c r="PI6" s="2">
        <v>0</v>
      </c>
      <c r="PK6" s="2">
        <v>0</v>
      </c>
      <c r="PM6" s="8">
        <f>SUM(PC6:PK6)</f>
        <v>3250581.66</v>
      </c>
      <c r="PN6" s="26"/>
      <c r="PO6" s="10" t="s">
        <v>39</v>
      </c>
      <c r="PP6" s="2">
        <v>342951.99</v>
      </c>
      <c r="PQ6" s="11"/>
      <c r="PR6" s="2">
        <v>2286923.85</v>
      </c>
      <c r="PT6" s="39"/>
      <c r="PV6" s="2">
        <v>0</v>
      </c>
      <c r="PX6" s="2">
        <v>0</v>
      </c>
      <c r="PZ6" s="8">
        <f>SUM(PP6:PX6)</f>
        <v>2629875.84</v>
      </c>
      <c r="QA6" s="26"/>
      <c r="QB6" s="10" t="s">
        <v>39</v>
      </c>
      <c r="QC6" s="2">
        <v>253109.55</v>
      </c>
      <c r="QD6" s="11"/>
      <c r="QE6" s="2">
        <v>1673764.44</v>
      </c>
      <c r="QG6" s="39"/>
      <c r="QI6" s="2">
        <v>0</v>
      </c>
      <c r="QK6" s="2">
        <v>0</v>
      </c>
      <c r="QM6" s="8">
        <f>SUM(QC6:QK6)</f>
        <v>1926873.99</v>
      </c>
      <c r="QN6" s="26"/>
      <c r="QO6" s="10" t="s">
        <v>39</v>
      </c>
      <c r="QP6" s="2">
        <v>0</v>
      </c>
      <c r="QQ6" s="11"/>
      <c r="QR6" s="2">
        <v>1006728.94</v>
      </c>
      <c r="QT6" s="2">
        <v>149523.1</v>
      </c>
      <c r="QV6" s="2">
        <v>0</v>
      </c>
      <c r="QX6" s="2">
        <v>0</v>
      </c>
      <c r="QZ6" s="8">
        <f>SUM(QP6:QX6)</f>
        <v>1156252.04</v>
      </c>
      <c r="RA6" s="26"/>
      <c r="RB6" s="10" t="s">
        <v>39</v>
      </c>
      <c r="RC6" s="2">
        <v>0</v>
      </c>
      <c r="RD6" s="11"/>
      <c r="RE6" s="2">
        <v>620357.6</v>
      </c>
      <c r="RG6" s="2">
        <v>120633.32</v>
      </c>
      <c r="RI6" s="2">
        <v>0</v>
      </c>
      <c r="RK6" s="2">
        <v>0</v>
      </c>
      <c r="RM6" s="8">
        <f>SUM(RC6:RK6)</f>
        <v>740990.91999999993</v>
      </c>
      <c r="RN6" s="26"/>
      <c r="RO6" s="10" t="s">
        <v>39</v>
      </c>
      <c r="RP6" s="2">
        <v>0</v>
      </c>
      <c r="RQ6" s="11"/>
      <c r="RR6" s="2">
        <v>176658</v>
      </c>
      <c r="RT6" s="2">
        <v>64067.99</v>
      </c>
      <c r="RV6" s="2">
        <v>0</v>
      </c>
      <c r="RX6" s="2">
        <v>0</v>
      </c>
      <c r="RZ6" s="8">
        <f>SUM(RP6:RX6)</f>
        <v>240725.99</v>
      </c>
      <c r="SA6" s="26"/>
      <c r="SB6" s="10" t="s">
        <v>39</v>
      </c>
      <c r="SC6" s="2">
        <v>0</v>
      </c>
      <c r="SD6" s="11"/>
      <c r="SE6" s="2">
        <v>1123857.8800000001</v>
      </c>
      <c r="SG6" s="2">
        <v>301786.23999999999</v>
      </c>
      <c r="SI6" s="2">
        <v>0</v>
      </c>
      <c r="SK6" s="2">
        <v>0</v>
      </c>
      <c r="SM6" s="8">
        <f>SUM(SC6:SK6)</f>
        <v>1425644.12</v>
      </c>
      <c r="SN6" s="26"/>
      <c r="SO6" s="10" t="s">
        <v>39</v>
      </c>
      <c r="SP6" s="2"/>
      <c r="SQ6" s="11"/>
      <c r="SR6" s="2">
        <v>848645.64</v>
      </c>
      <c r="ST6" s="2">
        <v>197042.68</v>
      </c>
      <c r="SV6" s="2">
        <v>0</v>
      </c>
      <c r="SX6" s="2">
        <v>0</v>
      </c>
      <c r="SZ6" s="8">
        <f>SUM(SP6:SX6)</f>
        <v>1045688.3200000001</v>
      </c>
      <c r="TA6" s="26"/>
      <c r="TB6" s="10" t="s">
        <v>39</v>
      </c>
      <c r="TC6" s="2">
        <v>0</v>
      </c>
      <c r="TD6" s="11"/>
      <c r="TE6" s="2">
        <v>606057.11</v>
      </c>
      <c r="TG6" s="2">
        <v>55706</v>
      </c>
      <c r="TI6" s="2">
        <v>0</v>
      </c>
      <c r="TK6" s="2">
        <v>0</v>
      </c>
      <c r="TM6" s="8">
        <f>SUM(TC6:TK6)</f>
        <v>661763.11</v>
      </c>
      <c r="TN6" s="26"/>
      <c r="TO6" s="10" t="s">
        <v>39</v>
      </c>
      <c r="TP6" s="2">
        <v>0</v>
      </c>
      <c r="TQ6" s="11"/>
      <c r="TR6" s="2">
        <v>147912.93</v>
      </c>
      <c r="TT6" s="2">
        <v>37912.29</v>
      </c>
      <c r="TV6" s="2">
        <v>0</v>
      </c>
      <c r="TX6" s="2">
        <v>0</v>
      </c>
      <c r="TZ6" s="2">
        <v>185825.22</v>
      </c>
      <c r="UA6" s="26"/>
      <c r="UB6" s="10" t="s">
        <v>39</v>
      </c>
      <c r="UC6" s="2">
        <v>44000</v>
      </c>
      <c r="UD6" s="11"/>
      <c r="UE6" s="2">
        <v>701488.16999999993</v>
      </c>
      <c r="UG6" s="2">
        <v>157161.47</v>
      </c>
      <c r="UI6" s="2">
        <v>0</v>
      </c>
      <c r="UK6" s="2">
        <v>0</v>
      </c>
      <c r="UM6" s="2">
        <f>SUM(UC6:UK6)</f>
        <v>902649.6399999999</v>
      </c>
      <c r="UN6" s="26"/>
      <c r="UO6" s="10" t="s">
        <v>39</v>
      </c>
      <c r="UP6" s="2">
        <v>44000</v>
      </c>
      <c r="UQ6" s="11"/>
      <c r="UR6" s="2">
        <v>673236.27</v>
      </c>
      <c r="UT6" s="2">
        <v>157141.67000000001</v>
      </c>
      <c r="UV6" s="2">
        <v>0</v>
      </c>
      <c r="UX6" s="2">
        <v>0</v>
      </c>
      <c r="UZ6" s="2">
        <f>SUM(UP6:UX6)</f>
        <v>874377.94000000006</v>
      </c>
      <c r="VA6" s="26"/>
      <c r="VB6" s="26" t="s">
        <v>39</v>
      </c>
      <c r="VC6" s="2">
        <v>44000</v>
      </c>
      <c r="VD6" s="11"/>
      <c r="VE6" s="2">
        <v>49554.11</v>
      </c>
      <c r="VG6" s="2">
        <v>65885.759999999995</v>
      </c>
      <c r="VI6" s="2">
        <v>0</v>
      </c>
      <c r="VK6" s="2">
        <v>0</v>
      </c>
      <c r="VM6" s="2">
        <v>159439.87</v>
      </c>
      <c r="VN6" s="26"/>
      <c r="VO6" s="26" t="s">
        <v>39</v>
      </c>
      <c r="VP6" s="2">
        <f>46.18*1000</f>
        <v>46180</v>
      </c>
      <c r="VQ6" s="11"/>
      <c r="VR6" s="2">
        <v>0</v>
      </c>
      <c r="VT6" s="2">
        <f>11.3677*1000</f>
        <v>11367.699999999999</v>
      </c>
      <c r="VV6" s="2">
        <v>0</v>
      </c>
      <c r="VX6" s="2">
        <v>0</v>
      </c>
      <c r="VZ6" s="2">
        <f>57.5477*1000</f>
        <v>57547.7</v>
      </c>
      <c r="WA6" s="26"/>
      <c r="WB6" s="10" t="s">
        <v>39</v>
      </c>
      <c r="WC6" s="2">
        <v>0</v>
      </c>
      <c r="WD6" s="11"/>
      <c r="WE6" s="2">
        <v>0</v>
      </c>
      <c r="WG6" s="2">
        <v>459758.24</v>
      </c>
      <c r="WI6" s="2">
        <v>0</v>
      </c>
      <c r="WK6" s="2">
        <v>0</v>
      </c>
      <c r="WM6" s="2">
        <f>SUM(WC6:WK6)</f>
        <v>459758.24</v>
      </c>
      <c r="WN6" s="26"/>
      <c r="WO6" s="10" t="s">
        <v>39</v>
      </c>
      <c r="WP6" s="2"/>
      <c r="WQ6" s="11"/>
      <c r="WZ6" s="2">
        <f>SUM(WP6:WX6)</f>
        <v>0</v>
      </c>
      <c r="XA6" s="26"/>
      <c r="XB6" s="26" t="s">
        <v>39</v>
      </c>
      <c r="XC6" s="2">
        <v>0</v>
      </c>
      <c r="XD6" s="11">
        <v>0</v>
      </c>
      <c r="XE6" s="2">
        <v>0</v>
      </c>
      <c r="XF6" s="2">
        <v>0</v>
      </c>
      <c r="XG6" s="2">
        <v>0</v>
      </c>
      <c r="XH6" s="2">
        <v>0</v>
      </c>
      <c r="XI6" s="2">
        <v>0</v>
      </c>
      <c r="XJ6" s="2">
        <v>0</v>
      </c>
      <c r="XK6" s="2">
        <v>0</v>
      </c>
      <c r="XM6" s="2">
        <v>0</v>
      </c>
      <c r="XN6" s="2"/>
      <c r="XO6" s="26" t="s">
        <v>39</v>
      </c>
      <c r="XP6" s="2">
        <v>0</v>
      </c>
      <c r="XQ6" s="11"/>
      <c r="XR6" s="2">
        <v>0</v>
      </c>
      <c r="XT6" s="2">
        <f>65.57661*1000</f>
        <v>65576.61</v>
      </c>
      <c r="XV6" s="2">
        <v>0</v>
      </c>
      <c r="XX6" s="2">
        <v>0</v>
      </c>
      <c r="XZ6" s="2">
        <f>65.57661*1000</f>
        <v>65576.61</v>
      </c>
      <c r="YA6" s="2"/>
      <c r="YB6" s="26" t="s">
        <v>39</v>
      </c>
      <c r="YC6" s="2">
        <v>0</v>
      </c>
      <c r="YD6" s="11"/>
      <c r="YE6" s="2">
        <v>0</v>
      </c>
      <c r="YG6" s="2">
        <v>129738.63</v>
      </c>
      <c r="YI6" s="2">
        <v>0</v>
      </c>
      <c r="YK6" s="2">
        <v>0</v>
      </c>
      <c r="YM6" s="2">
        <f>SUM(YC6:YK6)</f>
        <v>129738.63</v>
      </c>
      <c r="YN6" s="2"/>
      <c r="YO6" s="10" t="s">
        <v>39</v>
      </c>
      <c r="YP6" s="2"/>
      <c r="YQ6" s="11"/>
      <c r="YZ6" s="2">
        <v>0</v>
      </c>
    </row>
    <row r="7" spans="1:676">
      <c r="A7" s="10" t="s">
        <v>40</v>
      </c>
      <c r="B7" s="2">
        <v>826410.95</v>
      </c>
      <c r="C7" s="70"/>
      <c r="D7" s="2">
        <v>2427918.88</v>
      </c>
      <c r="E7" s="61"/>
      <c r="F7" s="2">
        <v>0</v>
      </c>
      <c r="G7" s="61"/>
      <c r="H7" s="2">
        <v>0</v>
      </c>
      <c r="I7" s="61"/>
      <c r="J7" s="2">
        <v>1546800</v>
      </c>
      <c r="K7" s="61"/>
      <c r="L7" s="2">
        <v>-4801129.83</v>
      </c>
      <c r="M7" s="61"/>
      <c r="N7" s="71">
        <f t="shared" si="0"/>
        <v>0</v>
      </c>
      <c r="Q7" s="10" t="s">
        <v>40</v>
      </c>
      <c r="R7" s="2">
        <v>567612.63</v>
      </c>
      <c r="S7" s="70"/>
      <c r="T7" s="2">
        <v>1324243.1499999999</v>
      </c>
      <c r="U7" s="61"/>
      <c r="V7" s="2">
        <v>0</v>
      </c>
      <c r="W7" s="2"/>
      <c r="X7" s="2">
        <v>0</v>
      </c>
      <c r="Y7" s="61"/>
      <c r="Z7" s="2">
        <v>1160100</v>
      </c>
      <c r="AA7" s="61"/>
      <c r="AB7" s="2">
        <v>-3051955.7800000003</v>
      </c>
      <c r="AC7" s="61"/>
      <c r="AD7" s="48">
        <f t="shared" si="1"/>
        <v>0</v>
      </c>
      <c r="AG7" s="10" t="s">
        <v>40</v>
      </c>
      <c r="AH7" s="2">
        <v>303876.84000000003</v>
      </c>
      <c r="AI7" s="70"/>
      <c r="AJ7" s="2">
        <v>965529.16999999993</v>
      </c>
      <c r="AK7" s="61"/>
      <c r="AL7" s="2">
        <v>0</v>
      </c>
      <c r="AM7" s="2"/>
      <c r="AN7" s="2">
        <v>0</v>
      </c>
      <c r="AO7" s="61"/>
      <c r="AP7" s="2">
        <v>773400</v>
      </c>
      <c r="AQ7" s="61"/>
      <c r="AR7" s="2">
        <v>-2042806.01</v>
      </c>
      <c r="AS7" s="61"/>
      <c r="AT7" s="48">
        <f t="shared" si="2"/>
        <v>0</v>
      </c>
      <c r="AW7" s="10" t="s">
        <v>40</v>
      </c>
      <c r="AX7" s="2">
        <v>126997.8</v>
      </c>
      <c r="AY7" s="70"/>
      <c r="AZ7" s="2">
        <v>460484.33</v>
      </c>
      <c r="BA7" s="61"/>
      <c r="BB7" s="2">
        <v>0</v>
      </c>
      <c r="BC7" s="2"/>
      <c r="BD7" s="2">
        <v>0</v>
      </c>
      <c r="BE7" s="61"/>
      <c r="BF7" s="2">
        <v>386700</v>
      </c>
      <c r="BG7" s="61"/>
      <c r="BH7" s="2">
        <v>-974182.13</v>
      </c>
      <c r="BI7" s="61"/>
      <c r="BJ7" s="71">
        <f>SUM(AX7:BH7)</f>
        <v>0</v>
      </c>
      <c r="BM7" s="10" t="s">
        <v>40</v>
      </c>
      <c r="BN7" s="2">
        <v>236516.78</v>
      </c>
      <c r="BO7" s="70"/>
      <c r="BP7" s="2">
        <v>1556474.76</v>
      </c>
      <c r="BQ7" s="61"/>
      <c r="BR7" s="2">
        <v>0</v>
      </c>
      <c r="BS7" s="61"/>
      <c r="BT7" s="2">
        <v>0</v>
      </c>
      <c r="BU7" s="61"/>
      <c r="BV7" s="2">
        <v>1542600</v>
      </c>
      <c r="BW7" s="61"/>
      <c r="BX7" s="2">
        <v>-3335591.5399999996</v>
      </c>
      <c r="BY7" s="61"/>
      <c r="BZ7" s="71">
        <f>SUM(BN7:BX7)</f>
        <v>0</v>
      </c>
      <c r="CC7" s="10" t="s">
        <v>40</v>
      </c>
      <c r="CD7" s="2">
        <v>236516.78</v>
      </c>
      <c r="CE7" s="70"/>
      <c r="CF7" s="2">
        <v>1187281.03</v>
      </c>
      <c r="CG7" s="61"/>
      <c r="CH7" s="2">
        <v>0</v>
      </c>
      <c r="CI7" s="2"/>
      <c r="CJ7" s="2">
        <v>0</v>
      </c>
      <c r="CK7" s="61"/>
      <c r="CL7" s="2">
        <v>1155900</v>
      </c>
      <c r="CM7" s="61"/>
      <c r="CN7" s="2">
        <v>-2579697.8099999996</v>
      </c>
      <c r="CO7" s="61"/>
      <c r="CP7" s="71">
        <f>SUM(CD7:CN7)</f>
        <v>0</v>
      </c>
      <c r="CS7" s="10" t="s">
        <v>40</v>
      </c>
      <c r="CT7" s="2">
        <v>234839.31</v>
      </c>
      <c r="CU7" s="70"/>
      <c r="CV7" s="2">
        <v>732130.9</v>
      </c>
      <c r="CW7" s="61"/>
      <c r="CX7" s="2">
        <v>0</v>
      </c>
      <c r="CY7" s="2"/>
      <c r="CZ7" s="2">
        <v>0</v>
      </c>
      <c r="DA7" s="61"/>
      <c r="DB7" s="2">
        <v>769200</v>
      </c>
      <c r="DC7" s="61"/>
      <c r="DD7" s="2">
        <v>-1736170.21</v>
      </c>
      <c r="DE7" s="61"/>
      <c r="DF7" s="71">
        <f>SUM(CT7:DD7)</f>
        <v>0</v>
      </c>
      <c r="DI7" s="10" t="s">
        <v>40</v>
      </c>
      <c r="DJ7" s="2">
        <v>228504.14</v>
      </c>
      <c r="DK7" s="70"/>
      <c r="DL7" s="2">
        <v>356135.31</v>
      </c>
      <c r="DM7" s="61"/>
      <c r="DN7" s="2">
        <v>0</v>
      </c>
      <c r="DO7" s="2"/>
      <c r="DP7" s="2">
        <v>0</v>
      </c>
      <c r="DQ7" s="61"/>
      <c r="DR7" s="2">
        <v>382500</v>
      </c>
      <c r="DS7" s="61"/>
      <c r="DT7" s="2">
        <v>-967139.45000000007</v>
      </c>
      <c r="DU7" s="61"/>
      <c r="DV7" s="71">
        <f>SUM(DJ7:DT7)</f>
        <v>0</v>
      </c>
      <c r="DY7" s="10" t="s">
        <v>40</v>
      </c>
      <c r="DZ7" s="61">
        <v>434466.5</v>
      </c>
      <c r="EA7" s="70"/>
      <c r="EB7" s="61">
        <v>1797516.74</v>
      </c>
      <c r="EC7" s="61"/>
      <c r="ED7" s="61">
        <v>0</v>
      </c>
      <c r="EE7" s="61"/>
      <c r="EF7" s="61">
        <v>1530000</v>
      </c>
      <c r="EG7" s="61"/>
      <c r="EH7" s="61">
        <v>-3761983.24</v>
      </c>
      <c r="EI7" s="61"/>
      <c r="EJ7" s="71">
        <f>SUM(DZ7:EH7)</f>
        <v>0</v>
      </c>
      <c r="EM7" s="10" t="s">
        <v>40</v>
      </c>
      <c r="EN7" s="2">
        <v>447626.04</v>
      </c>
      <c r="EO7" s="11"/>
      <c r="EP7" s="2">
        <v>1408512.67</v>
      </c>
      <c r="ER7" s="2">
        <v>0</v>
      </c>
      <c r="ET7" s="2">
        <v>1147500</v>
      </c>
      <c r="EV7" s="2">
        <v>-3003638.7099999995</v>
      </c>
      <c r="EX7" s="8">
        <f>SUM(EN7:EV7)</f>
        <v>0</v>
      </c>
      <c r="FA7" s="10" t="s">
        <v>40</v>
      </c>
      <c r="FB7" s="2">
        <v>73519.512015999993</v>
      </c>
      <c r="FC7" s="11"/>
      <c r="FD7" s="2">
        <v>581078.39</v>
      </c>
      <c r="FF7" s="2">
        <v>0</v>
      </c>
      <c r="FH7" s="2">
        <v>843893.04</v>
      </c>
      <c r="FJ7" s="2">
        <v>-1498490.9420159999</v>
      </c>
      <c r="FL7" s="48">
        <f>SUM(FB7:FJ7)</f>
        <v>0</v>
      </c>
      <c r="FO7" s="10" t="s">
        <v>40</v>
      </c>
      <c r="FP7" s="2">
        <v>0</v>
      </c>
      <c r="FQ7" s="11"/>
      <c r="FR7" s="2">
        <v>253033.30000000002</v>
      </c>
      <c r="FT7" s="2">
        <v>0</v>
      </c>
      <c r="FV7" s="2">
        <v>432872.51</v>
      </c>
      <c r="FX7" s="2">
        <v>-685905.80999999994</v>
      </c>
      <c r="FZ7" s="8">
        <f>SUM(FP7:FX7)</f>
        <v>0</v>
      </c>
      <c r="GC7" s="10" t="s">
        <v>40</v>
      </c>
      <c r="GD7" s="2">
        <v>1279284.78</v>
      </c>
      <c r="GE7" s="11"/>
      <c r="GF7" s="2">
        <v>1800432.23</v>
      </c>
      <c r="GH7" s="2">
        <v>0</v>
      </c>
      <c r="GJ7" s="2">
        <v>1814977.96</v>
      </c>
      <c r="GL7" s="2">
        <v>-4894694.97</v>
      </c>
      <c r="GN7" s="48">
        <f>SUM(GD7:GL7)</f>
        <v>0</v>
      </c>
      <c r="GQ7" s="10" t="s">
        <v>40</v>
      </c>
      <c r="GR7" s="2">
        <v>1279284.78</v>
      </c>
      <c r="GS7" s="11"/>
      <c r="GT7" s="2">
        <v>1531744.51</v>
      </c>
      <c r="GV7" s="2">
        <v>0</v>
      </c>
      <c r="GX7" s="2">
        <v>1382896.92</v>
      </c>
      <c r="GZ7" s="2">
        <v>-4193926.2099999995</v>
      </c>
      <c r="HB7" s="8">
        <f>SUM(GR7:GZ7)</f>
        <v>0</v>
      </c>
      <c r="HE7" s="10" t="s">
        <v>40</v>
      </c>
      <c r="HF7" s="2">
        <v>0</v>
      </c>
      <c r="HG7" s="11"/>
      <c r="HH7" s="2">
        <v>1266410.8400000001</v>
      </c>
      <c r="HJ7" s="2">
        <v>0</v>
      </c>
      <c r="HL7" s="2">
        <v>900088.79</v>
      </c>
      <c r="HN7" s="2">
        <v>-2166499.63</v>
      </c>
      <c r="HP7" s="8">
        <f>SUM(HF7:HN7)</f>
        <v>0</v>
      </c>
      <c r="HS7" s="10" t="s">
        <v>40</v>
      </c>
      <c r="HT7" s="2">
        <v>0</v>
      </c>
      <c r="HU7" s="11"/>
      <c r="HV7" s="2">
        <v>245401.62</v>
      </c>
      <c r="HX7" s="2">
        <v>0</v>
      </c>
      <c r="HZ7" s="2">
        <v>411000</v>
      </c>
      <c r="IB7" s="2">
        <v>-656401.62</v>
      </c>
      <c r="ID7" s="8">
        <f>SUM(HT7:IB7)</f>
        <v>0</v>
      </c>
      <c r="IG7" s="10" t="s">
        <v>40</v>
      </c>
      <c r="IH7" s="2">
        <v>0</v>
      </c>
      <c r="II7" s="11"/>
      <c r="IJ7" s="2">
        <v>982347.64000000013</v>
      </c>
      <c r="IL7" s="2">
        <v>0</v>
      </c>
      <c r="IN7" s="2">
        <v>1644000</v>
      </c>
      <c r="IP7" s="2">
        <v>-2626347.64</v>
      </c>
      <c r="IR7" s="8">
        <f>SUM(IH7:IP7)</f>
        <v>0</v>
      </c>
      <c r="IU7" s="10" t="s">
        <v>40</v>
      </c>
      <c r="IV7" s="2">
        <v>0</v>
      </c>
      <c r="IW7" s="11"/>
      <c r="IX7" s="2">
        <v>740694.77</v>
      </c>
      <c r="IZ7" s="2">
        <v>0</v>
      </c>
      <c r="JB7" s="2">
        <v>1233000</v>
      </c>
      <c r="JD7" s="2">
        <v>-1973694.77</v>
      </c>
      <c r="JF7" s="8">
        <f>SUM(IV7:JD7)</f>
        <v>0</v>
      </c>
      <c r="JI7" s="10" t="s">
        <v>40</v>
      </c>
      <c r="JJ7" s="2">
        <v>0</v>
      </c>
      <c r="JK7" s="11"/>
      <c r="JL7" s="2">
        <v>503650.56</v>
      </c>
      <c r="JN7" s="2">
        <v>0</v>
      </c>
      <c r="JP7" s="2">
        <v>822000</v>
      </c>
      <c r="JR7" s="2">
        <v>-1325650.56</v>
      </c>
      <c r="JT7" s="8">
        <f>SUM(JJ7:JR7)</f>
        <v>0</v>
      </c>
      <c r="JW7" s="10" t="s">
        <v>40</v>
      </c>
      <c r="JX7" s="2">
        <v>0</v>
      </c>
      <c r="JY7" s="11"/>
      <c r="JZ7" s="2">
        <v>236687.27</v>
      </c>
      <c r="KB7" s="2">
        <v>0</v>
      </c>
      <c r="KD7" s="2">
        <v>411000</v>
      </c>
      <c r="KF7" s="2">
        <v>-726512.56</v>
      </c>
      <c r="KH7" s="8">
        <f>SUM(JX7:KF7)</f>
        <v>-78825.290000000037</v>
      </c>
      <c r="KK7" s="10" t="s">
        <v>40</v>
      </c>
      <c r="KL7" s="2">
        <v>0</v>
      </c>
      <c r="KM7" s="11"/>
      <c r="KN7" s="2">
        <v>1045463.1399999999</v>
      </c>
      <c r="KP7" s="2">
        <v>0</v>
      </c>
      <c r="KR7" s="2">
        <v>1644000</v>
      </c>
      <c r="KT7" s="2">
        <v>-2689463.14</v>
      </c>
      <c r="KV7" s="8">
        <f>SUM(KL7:KT7)</f>
        <v>0</v>
      </c>
      <c r="KY7" s="10" t="s">
        <v>40</v>
      </c>
      <c r="KZ7" s="2">
        <v>0</v>
      </c>
      <c r="LA7" s="11"/>
      <c r="LB7" s="2">
        <v>785045.75</v>
      </c>
      <c r="LD7" s="2">
        <v>0</v>
      </c>
      <c r="LF7" s="2">
        <v>1507500</v>
      </c>
      <c r="LH7" s="2">
        <v>-2292545.75</v>
      </c>
      <c r="LJ7" s="8">
        <f>SUM(KZ7:LH7)</f>
        <v>0</v>
      </c>
      <c r="LM7" s="10" t="s">
        <v>40</v>
      </c>
      <c r="LN7" s="2">
        <v>0</v>
      </c>
      <c r="LO7" s="11"/>
      <c r="LP7" s="2">
        <v>550402.82999999996</v>
      </c>
      <c r="LR7" s="2">
        <v>0</v>
      </c>
      <c r="LT7" s="2">
        <v>1005000</v>
      </c>
      <c r="LV7" s="2">
        <v>-1555402.83</v>
      </c>
      <c r="LX7" s="48">
        <f>SUM(LN7:LV7)</f>
        <v>0</v>
      </c>
      <c r="LZ7" s="10" t="s">
        <v>40</v>
      </c>
      <c r="MA7" s="2">
        <v>0</v>
      </c>
      <c r="MB7" s="11"/>
      <c r="MC7" s="2">
        <v>307449.08999999997</v>
      </c>
      <c r="ME7" s="53">
        <v>0</v>
      </c>
      <c r="MG7" s="2">
        <v>502500</v>
      </c>
      <c r="MI7" s="2">
        <v>-809949.09</v>
      </c>
      <c r="MK7" s="8">
        <f>SUM(MA7:MI7)</f>
        <v>0</v>
      </c>
      <c r="ML7" s="8"/>
      <c r="MM7" s="10" t="s">
        <v>40</v>
      </c>
      <c r="MN7" s="2">
        <v>0</v>
      </c>
      <c r="MO7" s="11"/>
      <c r="MP7" s="2">
        <v>930906.23</v>
      </c>
      <c r="MR7" s="2">
        <v>0</v>
      </c>
      <c r="MT7" s="2">
        <v>2010000</v>
      </c>
      <c r="MV7" s="2">
        <v>-2940906.23</v>
      </c>
      <c r="MX7" s="8">
        <f>SUM(MN7:MV7)</f>
        <v>0</v>
      </c>
      <c r="NA7" s="10" t="s">
        <v>40</v>
      </c>
      <c r="NB7" s="2">
        <v>0</v>
      </c>
      <c r="NC7" s="11"/>
      <c r="ND7" s="2">
        <v>699998.04</v>
      </c>
      <c r="NF7" s="2">
        <v>0</v>
      </c>
      <c r="NH7" s="2">
        <v>1507500</v>
      </c>
      <c r="NJ7" s="2">
        <v>-2207498.04</v>
      </c>
      <c r="NL7" s="8">
        <f>SUM(NB7:NJ7)</f>
        <v>0</v>
      </c>
      <c r="NO7" s="10" t="s">
        <v>40</v>
      </c>
      <c r="NP7" s="2">
        <v>0</v>
      </c>
      <c r="NQ7" s="11"/>
      <c r="NR7" s="2">
        <v>450703.65</v>
      </c>
      <c r="NT7" s="2">
        <v>0</v>
      </c>
      <c r="NV7" s="2">
        <v>1005000</v>
      </c>
      <c r="NX7" s="2">
        <v>-1455703.65</v>
      </c>
      <c r="NZ7" s="48">
        <f>SUM(NP7:NX7)</f>
        <v>0</v>
      </c>
      <c r="OB7" s="10" t="s">
        <v>40</v>
      </c>
      <c r="OC7" s="2">
        <v>0</v>
      </c>
      <c r="OD7" s="11"/>
      <c r="OE7" s="2">
        <v>253847.58999999997</v>
      </c>
      <c r="OG7" s="53">
        <v>0</v>
      </c>
      <c r="OI7" s="2">
        <v>561000</v>
      </c>
      <c r="OK7" s="2">
        <v>-814847.59</v>
      </c>
      <c r="OM7" s="48">
        <f>SUM(OC7:OK7)</f>
        <v>0</v>
      </c>
      <c r="OO7" s="10" t="s">
        <v>40</v>
      </c>
      <c r="OP7" s="2">
        <v>0</v>
      </c>
      <c r="OQ7" s="11">
        <v>0</v>
      </c>
      <c r="OR7" s="2">
        <v>3238050.34</v>
      </c>
      <c r="OT7" s="2">
        <v>0</v>
      </c>
      <c r="OV7" s="2">
        <v>4557000</v>
      </c>
      <c r="OX7" s="2">
        <v>-7795050.3399999999</v>
      </c>
      <c r="OZ7" s="48">
        <f>SUM(OP7:OX7)</f>
        <v>0</v>
      </c>
      <c r="PA7" s="26"/>
      <c r="PB7" s="10" t="s">
        <v>40</v>
      </c>
      <c r="PC7" s="2">
        <v>0</v>
      </c>
      <c r="PD7" s="11"/>
      <c r="PE7" s="2">
        <v>2937642.71</v>
      </c>
      <c r="PG7" s="39">
        <v>0</v>
      </c>
      <c r="PI7" s="2">
        <v>4986000</v>
      </c>
      <c r="PK7" s="2">
        <v>-7923642.71</v>
      </c>
      <c r="PM7" s="8">
        <f>SUM(PC7:PK7)</f>
        <v>0</v>
      </c>
      <c r="PN7" s="26"/>
      <c r="PO7" s="10" t="s">
        <v>40</v>
      </c>
      <c r="PP7" s="2">
        <v>0</v>
      </c>
      <c r="PQ7" s="11"/>
      <c r="PR7" s="2">
        <v>2433388.41</v>
      </c>
      <c r="PT7" s="39"/>
      <c r="PV7" s="2">
        <v>4215000</v>
      </c>
      <c r="PX7" s="2">
        <v>-6648388.4100000001</v>
      </c>
      <c r="PZ7" s="8">
        <f>SUM(PP7:PX7)</f>
        <v>0</v>
      </c>
      <c r="QA7" s="26"/>
      <c r="QB7" s="10" t="s">
        <v>40</v>
      </c>
      <c r="QC7" s="2">
        <v>0</v>
      </c>
      <c r="QD7" s="11"/>
      <c r="QE7" s="2">
        <v>1977114.45</v>
      </c>
      <c r="QG7" s="39"/>
      <c r="QI7" s="2">
        <v>3444000</v>
      </c>
      <c r="QK7" s="2">
        <v>-5421114.4500000002</v>
      </c>
      <c r="QM7" s="8">
        <f>SUM(QC7:QK7)</f>
        <v>0</v>
      </c>
      <c r="QN7" s="26"/>
      <c r="QO7" s="10" t="s">
        <v>40</v>
      </c>
      <c r="QP7" s="2">
        <v>0</v>
      </c>
      <c r="QQ7" s="11"/>
      <c r="QR7" s="2">
        <v>1751805.18</v>
      </c>
      <c r="QT7" s="2">
        <v>0</v>
      </c>
      <c r="QV7" s="2">
        <v>2583000</v>
      </c>
      <c r="QX7" s="2">
        <v>-4334805.1800000006</v>
      </c>
      <c r="QZ7" s="8">
        <f>SUM(QP7:QX7)</f>
        <v>0</v>
      </c>
      <c r="RA7" s="26"/>
      <c r="RB7" s="10" t="s">
        <v>40</v>
      </c>
      <c r="RC7" s="2">
        <v>0</v>
      </c>
      <c r="RD7" s="11"/>
      <c r="RE7" s="2">
        <v>1619286.5</v>
      </c>
      <c r="RG7" s="2">
        <v>0</v>
      </c>
      <c r="RI7" s="2">
        <v>1722000</v>
      </c>
      <c r="RK7" s="2">
        <v>-3341286.5</v>
      </c>
      <c r="RM7" s="8">
        <f>SUM(RC7:RK7)</f>
        <v>0</v>
      </c>
      <c r="RN7" s="26"/>
      <c r="RO7" s="10" t="s">
        <v>40</v>
      </c>
      <c r="RP7" s="2">
        <v>0</v>
      </c>
      <c r="RQ7" s="11"/>
      <c r="RR7" s="2">
        <v>0</v>
      </c>
      <c r="RT7" s="2">
        <v>0</v>
      </c>
      <c r="RV7" s="2">
        <v>861000</v>
      </c>
      <c r="RX7" s="2">
        <v>-861000</v>
      </c>
      <c r="RZ7" s="8">
        <f>SUM(RP7:RX7)</f>
        <v>0</v>
      </c>
      <c r="SA7" s="26"/>
      <c r="SB7" s="10" t="s">
        <v>40</v>
      </c>
      <c r="SC7" s="2">
        <v>0</v>
      </c>
      <c r="SD7" s="11"/>
      <c r="SE7" s="2">
        <v>3855620.18</v>
      </c>
      <c r="SG7" s="2">
        <v>0</v>
      </c>
      <c r="SI7" s="2">
        <v>5273997.6900000013</v>
      </c>
      <c r="SK7" s="2">
        <v>-9129617.870000001</v>
      </c>
      <c r="SM7" s="8">
        <f>SUM(SC7:SK7)</f>
        <v>0</v>
      </c>
      <c r="SN7" s="26"/>
      <c r="SO7" s="10" t="s">
        <v>40</v>
      </c>
      <c r="SP7" s="2"/>
      <c r="SQ7" s="11"/>
      <c r="SR7" s="2">
        <v>761520.18</v>
      </c>
      <c r="ST7" s="2">
        <v>0</v>
      </c>
      <c r="SV7" s="2">
        <v>3644891.65</v>
      </c>
      <c r="SX7" s="2">
        <v>-4406411.83</v>
      </c>
      <c r="SZ7" s="8">
        <f>SUM(SP7:SX7)</f>
        <v>0</v>
      </c>
      <c r="TA7" s="26"/>
      <c r="TB7" s="10" t="s">
        <v>40</v>
      </c>
      <c r="TC7" s="2">
        <v>0</v>
      </c>
      <c r="TD7" s="11"/>
      <c r="TE7" s="2">
        <v>692140.18</v>
      </c>
      <c r="TG7" s="2">
        <v>231979.51</v>
      </c>
      <c r="TI7" s="2">
        <v>2427774.9899999998</v>
      </c>
      <c r="TK7" s="2">
        <v>-3351894.6799999997</v>
      </c>
      <c r="TM7" s="8">
        <f>SUM(TC7:TK7)</f>
        <v>0</v>
      </c>
      <c r="TN7" s="26"/>
      <c r="TO7" s="10" t="s">
        <v>40</v>
      </c>
      <c r="TP7" s="2">
        <v>0</v>
      </c>
      <c r="TQ7" s="11"/>
      <c r="TR7" s="2">
        <v>44100</v>
      </c>
      <c r="TT7" s="2">
        <v>56400</v>
      </c>
      <c r="TV7" s="2">
        <v>810000</v>
      </c>
      <c r="TX7" s="2">
        <v>-910500</v>
      </c>
      <c r="TZ7" s="2">
        <v>0</v>
      </c>
      <c r="UA7" s="26"/>
      <c r="UB7" s="10" t="s">
        <v>40</v>
      </c>
      <c r="UC7" s="2">
        <v>0</v>
      </c>
      <c r="UD7" s="11"/>
      <c r="UE7" s="2">
        <v>954027.28</v>
      </c>
      <c r="UG7" s="2">
        <v>869288.49</v>
      </c>
      <c r="UI7" s="2">
        <v>4736400</v>
      </c>
      <c r="UK7" s="2">
        <v>-6559715.7699999996</v>
      </c>
      <c r="UM7" s="2">
        <v>0</v>
      </c>
      <c r="UN7" s="26"/>
      <c r="UO7" s="10" t="s">
        <v>40</v>
      </c>
      <c r="UP7" s="2">
        <v>0</v>
      </c>
      <c r="UQ7" s="11"/>
      <c r="UR7" s="2">
        <v>6597.28</v>
      </c>
      <c r="UT7" s="2">
        <v>653557.49</v>
      </c>
      <c r="UV7" s="2">
        <v>3552300</v>
      </c>
      <c r="UX7" s="2">
        <v>-4212454.7699999996</v>
      </c>
      <c r="UZ7" s="2">
        <f>SUM(UP7:UX7)</f>
        <v>0</v>
      </c>
      <c r="VA7" s="26"/>
      <c r="VB7" s="26" t="s">
        <v>40</v>
      </c>
      <c r="VC7" s="2">
        <v>0</v>
      </c>
      <c r="VD7" s="11"/>
      <c r="VE7" s="2">
        <v>6597.28</v>
      </c>
      <c r="VG7" s="2">
        <v>104512.49</v>
      </c>
      <c r="VI7" s="2">
        <v>2368200</v>
      </c>
      <c r="VK7" s="2">
        <v>-2479309.77</v>
      </c>
      <c r="VM7" s="2">
        <v>0</v>
      </c>
      <c r="VN7" s="26"/>
      <c r="VO7" s="26" t="s">
        <v>40</v>
      </c>
      <c r="VP7" s="2">
        <v>0</v>
      </c>
      <c r="VQ7" s="11"/>
      <c r="VR7" s="2">
        <v>0</v>
      </c>
      <c r="VT7" s="2">
        <v>0</v>
      </c>
      <c r="VV7" s="2">
        <f>1190.7*1000</f>
        <v>1190700</v>
      </c>
      <c r="VX7" s="2">
        <f>-1190.69728*1000</f>
        <v>-1190697.28</v>
      </c>
      <c r="VZ7" s="2">
        <v>2.7199999997264968E-3</v>
      </c>
      <c r="WA7" s="26"/>
      <c r="WB7" s="10" t="s">
        <v>40</v>
      </c>
      <c r="WC7" s="2">
        <v>0</v>
      </c>
      <c r="WD7" s="11"/>
      <c r="WE7" s="2">
        <v>0</v>
      </c>
      <c r="WG7" s="2">
        <v>889296</v>
      </c>
      <c r="WI7" s="2">
        <v>4932601.24</v>
      </c>
      <c r="WK7" s="2">
        <v>-5821897.2400000002</v>
      </c>
      <c r="WM7" s="2">
        <f>SUM(WC7:WK7)</f>
        <v>0</v>
      </c>
      <c r="WN7" s="26"/>
      <c r="WO7" s="10" t="s">
        <v>40</v>
      </c>
      <c r="WP7" s="2"/>
      <c r="WQ7" s="11"/>
      <c r="WV7" s="2">
        <f>3733.35665*1000</f>
        <v>3733356.6500000004</v>
      </c>
      <c r="WX7" s="2">
        <f>-WV7</f>
        <v>-3733356.6500000004</v>
      </c>
      <c r="WZ7" s="2">
        <f>SUM(WP7:WX7)</f>
        <v>0</v>
      </c>
      <c r="XA7" s="26"/>
      <c r="XB7" s="26" t="s">
        <v>40</v>
      </c>
      <c r="XC7" s="2">
        <v>0</v>
      </c>
      <c r="XD7" s="11">
        <v>0</v>
      </c>
      <c r="XE7" s="2">
        <v>0</v>
      </c>
      <c r="XF7" s="2">
        <v>0</v>
      </c>
      <c r="XG7" s="2">
        <v>0</v>
      </c>
      <c r="XH7" s="2">
        <v>0</v>
      </c>
      <c r="XI7" s="2">
        <v>2543853.9900000002</v>
      </c>
      <c r="XJ7" s="2">
        <v>0</v>
      </c>
      <c r="XK7" s="2">
        <v>-2543853.9900000002</v>
      </c>
      <c r="XM7" s="2">
        <v>0</v>
      </c>
      <c r="XN7" s="2"/>
      <c r="XO7" s="26" t="s">
        <v>40</v>
      </c>
      <c r="XP7" s="2">
        <v>0</v>
      </c>
      <c r="XQ7" s="11"/>
      <c r="XR7" s="2">
        <v>0</v>
      </c>
      <c r="XT7" s="2">
        <v>0</v>
      </c>
      <c r="XV7" s="2">
        <f>1223.60773*1000</f>
        <v>1223607.73</v>
      </c>
      <c r="XX7" s="2">
        <f>-1223.60773*1000</f>
        <v>-1223607.73</v>
      </c>
      <c r="XZ7" s="2">
        <v>0</v>
      </c>
      <c r="YA7" s="2"/>
      <c r="YB7" s="26" t="s">
        <v>40</v>
      </c>
      <c r="YC7" s="2">
        <v>0</v>
      </c>
      <c r="YD7" s="11"/>
      <c r="YE7" s="2">
        <v>0</v>
      </c>
      <c r="YG7" s="2">
        <v>0</v>
      </c>
      <c r="YI7" s="2">
        <v>5247162.6722908253</v>
      </c>
      <c r="YK7" s="2">
        <v>-5247162.6722908253</v>
      </c>
      <c r="YM7" s="2">
        <f>SUM(YC7:YK7)</f>
        <v>0</v>
      </c>
      <c r="YN7" s="2"/>
      <c r="YO7" s="10" t="s">
        <v>40</v>
      </c>
      <c r="YP7" s="2"/>
      <c r="YQ7" s="11"/>
      <c r="YV7" s="2">
        <f>3988.16246*1000</f>
        <v>3988162.46</v>
      </c>
      <c r="YX7" s="2">
        <f>-3988.16246*1000</f>
        <v>-3988162.46</v>
      </c>
      <c r="YZ7" s="2">
        <v>0</v>
      </c>
    </row>
    <row r="8" spans="1:676">
      <c r="B8" s="61"/>
      <c r="C8" s="69"/>
      <c r="D8" s="61"/>
      <c r="E8" s="61"/>
      <c r="G8" s="61"/>
      <c r="H8" s="61"/>
      <c r="I8" s="61"/>
      <c r="J8" s="61"/>
      <c r="K8" s="61"/>
      <c r="L8" s="61"/>
      <c r="M8" s="61"/>
      <c r="N8" s="61"/>
      <c r="R8" s="61"/>
      <c r="S8" s="69"/>
      <c r="T8" s="61"/>
      <c r="U8" s="61"/>
      <c r="X8" s="61"/>
      <c r="Y8" s="61"/>
      <c r="Z8" s="61"/>
      <c r="AA8" s="61"/>
      <c r="AB8" s="61"/>
      <c r="AC8" s="61"/>
      <c r="AD8" s="61"/>
      <c r="AH8" s="61"/>
      <c r="AI8" s="69"/>
      <c r="AJ8" s="61"/>
      <c r="AK8" s="61"/>
      <c r="AO8" s="61"/>
      <c r="AP8" s="61"/>
      <c r="AQ8" s="61"/>
      <c r="AR8" s="61"/>
      <c r="AS8" s="61"/>
      <c r="AT8" s="61"/>
      <c r="AX8" s="61"/>
      <c r="AY8" s="69"/>
      <c r="AZ8" s="61"/>
      <c r="BA8" s="61"/>
      <c r="BE8" s="61"/>
      <c r="BF8" s="61"/>
      <c r="BG8" s="61"/>
      <c r="BH8" s="61"/>
      <c r="BI8" s="61"/>
      <c r="BJ8" s="61"/>
      <c r="BN8" s="61"/>
      <c r="BO8" s="69"/>
      <c r="BP8" s="61"/>
      <c r="BQ8" s="61"/>
      <c r="BS8" s="61"/>
      <c r="BU8" s="61"/>
      <c r="BV8" s="61"/>
      <c r="BW8" s="61"/>
      <c r="BX8" s="61"/>
      <c r="BY8" s="61"/>
      <c r="BZ8" s="61"/>
      <c r="CD8" s="61"/>
      <c r="CE8" s="69"/>
      <c r="CF8" s="61"/>
      <c r="CG8" s="61"/>
      <c r="CK8" s="61"/>
      <c r="CL8" s="61"/>
      <c r="CM8" s="61"/>
      <c r="CN8" s="61"/>
      <c r="CO8" s="61"/>
      <c r="CP8" s="61"/>
      <c r="CT8" s="61"/>
      <c r="CU8" s="69"/>
      <c r="CV8" s="61"/>
      <c r="CW8" s="61"/>
      <c r="DA8" s="61"/>
      <c r="DB8" s="61"/>
      <c r="DC8" s="61"/>
      <c r="DD8" s="61"/>
      <c r="DE8" s="61"/>
      <c r="DF8" s="61"/>
      <c r="DJ8" s="61"/>
      <c r="DK8" s="69"/>
      <c r="DL8" s="61"/>
      <c r="DM8" s="61"/>
      <c r="DQ8" s="61"/>
      <c r="DR8" s="61"/>
      <c r="DS8" s="61"/>
      <c r="DT8" s="61"/>
      <c r="DU8" s="61"/>
      <c r="DV8" s="61"/>
      <c r="DZ8" s="61"/>
      <c r="EA8" s="69"/>
      <c r="EB8" s="61"/>
      <c r="EC8" s="61"/>
      <c r="EE8" s="61"/>
      <c r="EF8" s="61"/>
      <c r="EG8" s="61"/>
      <c r="EH8" s="61"/>
      <c r="EI8" s="61"/>
      <c r="EJ8" s="61"/>
      <c r="EN8" s="2"/>
      <c r="FB8" s="2"/>
      <c r="FP8" s="2"/>
      <c r="GD8" s="2"/>
      <c r="GR8" s="2"/>
      <c r="HF8" s="2"/>
      <c r="HT8" s="2"/>
      <c r="IH8" s="2"/>
      <c r="IV8" s="2"/>
      <c r="JJ8" s="2"/>
      <c r="JX8" s="2"/>
      <c r="KL8" s="2"/>
      <c r="KZ8" s="2"/>
      <c r="LN8" s="2"/>
      <c r="LR8" s="53"/>
      <c r="MA8" s="2"/>
      <c r="ME8" s="53"/>
      <c r="MN8" s="2"/>
      <c r="NB8" s="2"/>
      <c r="NP8" s="2"/>
      <c r="NT8" s="53"/>
      <c r="OC8" s="2"/>
      <c r="OG8" s="53"/>
      <c r="OP8" s="2"/>
      <c r="OT8" s="53"/>
      <c r="PA8" s="24"/>
      <c r="PC8" s="2"/>
      <c r="PG8" s="39"/>
      <c r="PN8" s="24"/>
      <c r="PP8" s="2"/>
      <c r="PT8" s="39"/>
      <c r="QA8" s="24"/>
      <c r="QC8" s="2"/>
      <c r="QG8" s="39"/>
      <c r="QN8" s="24"/>
      <c r="QP8" s="2"/>
      <c r="RA8" s="24"/>
      <c r="RC8" s="2"/>
      <c r="RN8" s="24"/>
      <c r="RP8" s="2"/>
      <c r="SA8" s="24"/>
      <c r="SC8" s="2"/>
      <c r="SN8" s="24"/>
      <c r="SP8" s="2"/>
      <c r="TA8" s="24"/>
      <c r="TC8" s="2"/>
      <c r="TN8" s="24"/>
      <c r="TP8" s="2"/>
      <c r="UA8" s="24"/>
      <c r="UC8" s="2"/>
      <c r="UN8" s="24"/>
      <c r="UP8" s="2"/>
      <c r="VA8" s="24"/>
      <c r="VB8" s="24"/>
      <c r="VC8" s="2"/>
      <c r="VN8" s="24"/>
      <c r="VO8" s="24"/>
      <c r="VP8" s="2"/>
      <c r="WA8" s="24"/>
      <c r="WC8" s="2"/>
      <c r="WN8" s="24"/>
      <c r="WP8" s="2"/>
      <c r="XA8" s="24"/>
      <c r="XB8" s="24"/>
      <c r="XC8" s="2">
        <v>0</v>
      </c>
      <c r="XD8" s="3">
        <v>0</v>
      </c>
      <c r="XE8" s="2">
        <v>0</v>
      </c>
      <c r="XF8" s="2">
        <v>0</v>
      </c>
      <c r="XG8" s="2">
        <v>0</v>
      </c>
      <c r="XH8" s="2">
        <v>0</v>
      </c>
      <c r="XI8" s="2">
        <v>0</v>
      </c>
      <c r="XJ8" s="2">
        <v>0</v>
      </c>
      <c r="XK8" s="2">
        <v>0</v>
      </c>
      <c r="XN8" s="2"/>
      <c r="XO8" s="24"/>
      <c r="XP8" s="2"/>
      <c r="YA8" s="2"/>
      <c r="YB8" s="24"/>
      <c r="YC8" s="2"/>
      <c r="YN8" s="2"/>
      <c r="YP8" s="2"/>
    </row>
    <row r="9" spans="1:676" s="7" customFormat="1">
      <c r="A9" s="7" t="s">
        <v>41</v>
      </c>
      <c r="B9" s="63">
        <f>SUM(B10:B16)</f>
        <v>-454475542.46999997</v>
      </c>
      <c r="C9" s="72"/>
      <c r="D9" s="63">
        <f>SUM(D10:D16)</f>
        <v>-40429637.57</v>
      </c>
      <c r="E9" s="63"/>
      <c r="F9" s="63">
        <f>SUM(F10:F16)</f>
        <v>-3328138.71</v>
      </c>
      <c r="G9" s="63"/>
      <c r="H9" s="63">
        <f>SUM(H10:H16)</f>
        <v>-28228889.080000002</v>
      </c>
      <c r="I9" s="63"/>
      <c r="J9" s="63">
        <f>SUM(J10:J16)</f>
        <v>-30128046.02</v>
      </c>
      <c r="K9" s="63"/>
      <c r="L9" s="63">
        <f>SUM(L10:L16)</f>
        <v>4171322.29</v>
      </c>
      <c r="M9" s="63"/>
      <c r="N9" s="63">
        <f>SUM(N10:N16)</f>
        <v>-552418931.56000006</v>
      </c>
      <c r="Q9" s="7" t="s">
        <v>41</v>
      </c>
      <c r="R9" s="63">
        <f>SUM(R10:R16)</f>
        <v>-325731087.0404712</v>
      </c>
      <c r="S9" s="72"/>
      <c r="T9" s="63">
        <f>SUM(T10:T16)</f>
        <v>-29421335.156726539</v>
      </c>
      <c r="U9" s="63"/>
      <c r="V9" s="63">
        <f>SUM(V10:V16)</f>
        <v>-2733208.3652969375</v>
      </c>
      <c r="W9" s="63"/>
      <c r="X9" s="63">
        <f>SUM(X10:X16)</f>
        <v>-17635214.654703062</v>
      </c>
      <c r="Y9" s="63"/>
      <c r="Z9" s="63">
        <f>SUM(Z10:Z16)</f>
        <v>-19308017.182697158</v>
      </c>
      <c r="AA9" s="63"/>
      <c r="AB9" s="63">
        <f>SUM(AB10:AB16)</f>
        <v>2629634.6300266664</v>
      </c>
      <c r="AC9" s="63"/>
      <c r="AD9" s="63">
        <f>SUM(AD10:AD16)</f>
        <v>-392199227.76986825</v>
      </c>
      <c r="AG9" s="7" t="s">
        <v>41</v>
      </c>
      <c r="AH9" s="63">
        <f>SUM(AH10:AH16)</f>
        <v>-226271165.5008173</v>
      </c>
      <c r="AI9" s="72"/>
      <c r="AJ9" s="63">
        <f>SUM(AJ10:AJ16)</f>
        <v>-18530105.572817422</v>
      </c>
      <c r="AK9" s="63"/>
      <c r="AL9" s="63">
        <f>SUM(AL10:AL16)</f>
        <v>-1665756.4302969333</v>
      </c>
      <c r="AM9" s="63"/>
      <c r="AN9" s="63">
        <f>SUM(AN10:AN16)</f>
        <v>-9422541.9197030663</v>
      </c>
      <c r="AO9" s="63"/>
      <c r="AP9" s="63">
        <f>SUM(AP10:AP16)</f>
        <v>-12420794.648775503</v>
      </c>
      <c r="AQ9" s="63"/>
      <c r="AR9" s="63">
        <f>SUM(AR10:AR16)</f>
        <v>2126820.33</v>
      </c>
      <c r="AS9" s="63"/>
      <c r="AT9" s="63">
        <f>SUM(AT10:AT16)</f>
        <v>-266183543.74241024</v>
      </c>
      <c r="AW9" s="7" t="s">
        <v>41</v>
      </c>
      <c r="AX9" s="63">
        <f>SUM(AX10:AX16)</f>
        <v>-142753720.66954711</v>
      </c>
      <c r="AY9" s="72"/>
      <c r="AZ9" s="63">
        <f>SUM(AZ10:AZ16)</f>
        <v>-9495959.7562128119</v>
      </c>
      <c r="BA9" s="63"/>
      <c r="BB9" s="63">
        <f>SUM(BB10:BB16)</f>
        <v>-706817.78538388852</v>
      </c>
      <c r="BC9" s="63"/>
      <c r="BD9" s="63">
        <f>SUM(BD10:BD16)</f>
        <v>-4198236.5446161116</v>
      </c>
      <c r="BE9" s="63"/>
      <c r="BF9" s="63">
        <f>SUM(BF10:BF16)</f>
        <v>-5538791.1888104286</v>
      </c>
      <c r="BG9" s="63"/>
      <c r="BH9" s="63">
        <f>SUM(BH10:BH16)</f>
        <v>1021642.55</v>
      </c>
      <c r="BI9" s="63"/>
      <c r="BJ9" s="63">
        <f t="shared" ref="BJ9:BJ16" si="3">SUM(AX9:BH9)</f>
        <v>-161671883.39457032</v>
      </c>
      <c r="BM9" s="7" t="s">
        <v>41</v>
      </c>
      <c r="BN9" s="63">
        <f>SUM(BN10:BN16)</f>
        <v>-441443156.65193087</v>
      </c>
      <c r="BO9" s="72"/>
      <c r="BP9" s="63">
        <f>SUM(BP10:BP16)</f>
        <v>-33746966.581784613</v>
      </c>
      <c r="BQ9" s="63"/>
      <c r="BR9" s="63">
        <f>SUM(BR10:BR16)</f>
        <v>-3367675.0300000012</v>
      </c>
      <c r="BS9" s="63"/>
      <c r="BT9" s="63">
        <f>SUM(BT10:BT16)</f>
        <v>-19885436.789999999</v>
      </c>
      <c r="BU9" s="63"/>
      <c r="BV9" s="63">
        <f>SUM(BV10:BV16)</f>
        <v>-22350140.809375089</v>
      </c>
      <c r="BW9" s="63"/>
      <c r="BX9" s="63">
        <f>SUM(BX10:BX16)</f>
        <v>3614317.2649166672</v>
      </c>
      <c r="BY9" s="63"/>
      <c r="BZ9" s="63">
        <f t="shared" ref="BZ9:BZ16" si="4">SUM(BN9:BX9)</f>
        <v>-517179058.59817398</v>
      </c>
      <c r="CC9" s="7" t="s">
        <v>41</v>
      </c>
      <c r="CD9" s="63">
        <f>SUM(CD10:CD16)</f>
        <v>-346334371.0853138</v>
      </c>
      <c r="CE9" s="72"/>
      <c r="CF9" s="63">
        <f>SUM(CF10:CF16)</f>
        <v>-24111438.022042379</v>
      </c>
      <c r="CG9" s="63"/>
      <c r="CH9" s="63">
        <f>SUM(CH10:CH16)</f>
        <v>-2437305.4050000384</v>
      </c>
      <c r="CI9" s="63"/>
      <c r="CJ9" s="63">
        <f>SUM(CJ10:CJ16)</f>
        <v>-14917557.044999961</v>
      </c>
      <c r="CK9" s="63"/>
      <c r="CL9" s="63">
        <f>SUM(CL10:CL16)</f>
        <v>-15363501.357415264</v>
      </c>
      <c r="CM9" s="63"/>
      <c r="CN9" s="63">
        <f>SUM(CN10:CN16)</f>
        <v>2836594.5961027779</v>
      </c>
      <c r="CO9" s="63"/>
      <c r="CP9" s="63">
        <f t="shared" ref="CP9:CP16" si="5">SUM(CD9:CN9)</f>
        <v>-400327578.31866866</v>
      </c>
      <c r="CS9" s="7" t="s">
        <v>41</v>
      </c>
      <c r="CT9" s="63">
        <f>SUM(CT10:CT16)</f>
        <v>-262656746.43040884</v>
      </c>
      <c r="CU9" s="72"/>
      <c r="CV9" s="63">
        <f>SUM(CV10:CV16)</f>
        <v>-16430552.035512824</v>
      </c>
      <c r="CW9" s="63"/>
      <c r="CX9" s="63">
        <f>SUM(CX10:CX16)</f>
        <v>-1508675.8550000004</v>
      </c>
      <c r="CY9" s="63"/>
      <c r="CZ9" s="63">
        <f>SUM(CZ10:CZ16)</f>
        <v>-7784698.4949999992</v>
      </c>
      <c r="DA9" s="63"/>
      <c r="DB9" s="63">
        <f>SUM(DB10:DB16)</f>
        <v>-10548137.417990604</v>
      </c>
      <c r="DC9" s="63"/>
      <c r="DD9" s="63">
        <f>SUM(DD10:DD16)</f>
        <v>1906814.2914714403</v>
      </c>
      <c r="DE9" s="63"/>
      <c r="DF9" s="63">
        <f t="shared" ref="DF9:DF16" si="6">SUM(CT9:DD9)</f>
        <v>-297021995.94244087</v>
      </c>
      <c r="DI9" s="7" t="s">
        <v>41</v>
      </c>
      <c r="DJ9" s="63">
        <f>SUM(DJ10:DJ16)</f>
        <v>-209704623.16273841</v>
      </c>
      <c r="DK9" s="72"/>
      <c r="DL9" s="63">
        <f>SUM(DL10:DL16)</f>
        <v>-6984599.4378931886</v>
      </c>
      <c r="DM9" s="63"/>
      <c r="DN9" s="63">
        <f>SUM(DN10:DN16)</f>
        <v>-684760.10749999899</v>
      </c>
      <c r="DO9" s="63"/>
      <c r="DP9" s="63">
        <f>SUM(DP10:DP16)</f>
        <v>-3415666.9925000006</v>
      </c>
      <c r="DQ9" s="63"/>
      <c r="DR9" s="63">
        <f>SUM(DR10:DR16)</f>
        <v>-6192214.8428943884</v>
      </c>
      <c r="DS9" s="63"/>
      <c r="DT9" s="63">
        <f>SUM(DT10:DT16)</f>
        <v>1052900.2400000002</v>
      </c>
      <c r="DU9" s="63"/>
      <c r="DV9" s="63">
        <f t="shared" ref="DV9:DV16" si="7">SUM(DJ9:DT9)</f>
        <v>-225928964.30352595</v>
      </c>
      <c r="DY9" s="7" t="s">
        <v>41</v>
      </c>
      <c r="DZ9" s="63">
        <f>SUM(DZ10:DZ16)</f>
        <v>-315472299.98864162</v>
      </c>
      <c r="EA9" s="72"/>
      <c r="EB9" s="63">
        <f>SUM(EB10:EB16)</f>
        <v>-30331661.685368583</v>
      </c>
      <c r="EC9" s="63"/>
      <c r="ED9" s="63">
        <f>SUM(ED10:ED16)</f>
        <v>-15664060.27</v>
      </c>
      <c r="EE9" s="63"/>
      <c r="EF9" s="63">
        <f>SUM(EF10:EF16)</f>
        <v>-22109383.771657947</v>
      </c>
      <c r="EG9" s="63"/>
      <c r="EH9" s="63">
        <f>SUM(EH10:EH16)</f>
        <v>4568156.6656681262</v>
      </c>
      <c r="EI9" s="63"/>
      <c r="EJ9" s="63">
        <f t="shared" ref="EJ9:EJ16" si="8">SUM(DZ9:EH9)</f>
        <v>-379009249.05000001</v>
      </c>
      <c r="EM9" s="7" t="s">
        <v>41</v>
      </c>
      <c r="EN9" s="8">
        <f>SUM(EN10:EN16)</f>
        <v>-222680766.86592746</v>
      </c>
      <c r="EO9" s="9"/>
      <c r="EP9" s="8">
        <f>SUM(EP10:EP16)</f>
        <v>-22482050.07554739</v>
      </c>
      <c r="EQ9" s="8"/>
      <c r="ER9" s="63">
        <f>SUM(ER10:ER16)</f>
        <v>-10542621.630000001</v>
      </c>
      <c r="ES9" s="8"/>
      <c r="ET9" s="8">
        <f>SUM(ET10:ET16)</f>
        <v>-13775601.801028373</v>
      </c>
      <c r="EU9" s="8"/>
      <c r="EV9" s="8">
        <f>SUM(EV10:EV16)</f>
        <v>3144434.827552333</v>
      </c>
      <c r="EW9" s="8"/>
      <c r="EX9" s="8">
        <f>SUM(EN9:EV9)</f>
        <v>-266336605.5449509</v>
      </c>
      <c r="FA9" s="7" t="s">
        <v>41</v>
      </c>
      <c r="FB9" s="8">
        <f>SUM(FB10:FB16)</f>
        <v>-152291580.11210144</v>
      </c>
      <c r="FC9" s="9"/>
      <c r="FD9" s="8">
        <f>SUM(FD10:FD16)</f>
        <v>-15894662.098548824</v>
      </c>
      <c r="FE9" s="8"/>
      <c r="FF9" s="63">
        <f>SUM(FF10:FF16)</f>
        <v>-5679524.5200000005</v>
      </c>
      <c r="FG9" s="8"/>
      <c r="FH9" s="8">
        <f>SUM(FH10:FH16)</f>
        <v>-9307545.0094898082</v>
      </c>
      <c r="FI9" s="8"/>
      <c r="FJ9" s="8">
        <f>SUM(FJ10:FJ16)</f>
        <v>1506233.2004999998</v>
      </c>
      <c r="FK9" s="8"/>
      <c r="FL9" s="8">
        <f t="shared" ref="FL9:FL16" si="9">SUM(FB9:FJ9)</f>
        <v>-181667078.53964007</v>
      </c>
      <c r="FO9" s="7" t="s">
        <v>41</v>
      </c>
      <c r="FP9" s="8">
        <f>SUM(FP10:FP16)</f>
        <v>-106430740.48580146</v>
      </c>
      <c r="FQ9" s="9"/>
      <c r="FR9" s="8">
        <f>SUM(FR10:FR16)</f>
        <v>-7195671.2664099531</v>
      </c>
      <c r="FS9" s="8"/>
      <c r="FT9" s="63">
        <f>SUM(FT10:FT16)</f>
        <v>-2028903.9700000002</v>
      </c>
      <c r="FU9" s="8"/>
      <c r="FV9" s="8">
        <f>SUM(FV10:FV16)</f>
        <v>-4227606.7664998602</v>
      </c>
      <c r="FW9" s="8"/>
      <c r="FX9" s="8">
        <f>SUM(FX10:FX16)</f>
        <v>696704.75016468728</v>
      </c>
      <c r="FY9" s="8"/>
      <c r="FZ9" s="8">
        <f t="shared" ref="FZ9:FZ16" si="10">SUM(FP9:FX9)</f>
        <v>-119186217.73854658</v>
      </c>
      <c r="GC9" s="7" t="s">
        <v>41</v>
      </c>
      <c r="GD9" s="8">
        <f>SUM(GD10:GD16)</f>
        <v>-111715960.24780455</v>
      </c>
      <c r="GE9" s="9"/>
      <c r="GF9" s="8">
        <f>SUM(GF10:GF16)</f>
        <v>-25811965.164719511</v>
      </c>
      <c r="GG9" s="8"/>
      <c r="GH9" s="63">
        <f>SUM(GH10:GH16)</f>
        <v>-9337844.5999999996</v>
      </c>
      <c r="GI9" s="8"/>
      <c r="GJ9" s="8">
        <f>SUM(GJ10:GJ16)</f>
        <v>-7657688.0141495159</v>
      </c>
      <c r="GK9" s="8"/>
      <c r="GL9" s="8">
        <f>SUM(GL10:GL16)</f>
        <v>5280415.233000014</v>
      </c>
      <c r="GM9" s="8"/>
      <c r="GN9" s="8">
        <f t="shared" ref="GN9:GN16" si="11">SUM(GD9:GL9)</f>
        <v>-149243042.79367357</v>
      </c>
      <c r="GQ9" s="7" t="s">
        <v>41</v>
      </c>
      <c r="GR9" s="8">
        <f>SUM(GR10:GR16)</f>
        <v>-72653223.108187169</v>
      </c>
      <c r="GS9" s="9"/>
      <c r="GT9" s="8">
        <f>SUM(GT10:GT16)</f>
        <v>-19579921.079999998</v>
      </c>
      <c r="GU9" s="8"/>
      <c r="GV9" s="63">
        <f>SUM(GV10:GV16)</f>
        <v>-5196471.18</v>
      </c>
      <c r="GW9" s="8"/>
      <c r="GX9" s="8">
        <f>SUM(GX10:GX16)</f>
        <v>-3495401.2224149536</v>
      </c>
      <c r="GY9" s="8"/>
      <c r="GZ9" s="8">
        <f>SUM(GZ10:GZ16)</f>
        <v>4144301.8522454659</v>
      </c>
      <c r="HA9" s="8"/>
      <c r="HB9" s="8">
        <f>SUM(GR9:GZ9)</f>
        <v>-96780714.73835665</v>
      </c>
      <c r="HE9" s="7" t="s">
        <v>41</v>
      </c>
      <c r="HF9" s="8">
        <f>SUM(HF10:HF16)</f>
        <v>-49307269.597927496</v>
      </c>
      <c r="HG9" s="9"/>
      <c r="HH9" s="8">
        <f>SUM(HH10:HH16)</f>
        <v>-13097490.271499999</v>
      </c>
      <c r="HI9" s="8"/>
      <c r="HJ9" s="63">
        <f>SUM(HJ10:HJ16)</f>
        <v>-3367834.3699999996</v>
      </c>
      <c r="HK9" s="8"/>
      <c r="HL9" s="8">
        <f>SUM(HL10:HL16)</f>
        <v>499994.4828071362</v>
      </c>
      <c r="HM9" s="8"/>
      <c r="HN9" s="8">
        <f>SUM(HN10:HN16)</f>
        <v>2068990.278715479</v>
      </c>
      <c r="HO9" s="8"/>
      <c r="HP9" s="8">
        <f t="shared" ref="HP9:HP16" si="12">SUM(HF9:HN9)</f>
        <v>-63203609.477904879</v>
      </c>
      <c r="HS9" s="7" t="s">
        <v>41</v>
      </c>
      <c r="HT9" s="8">
        <f>SUM(HT10:HT16)</f>
        <v>-24257191.229999993</v>
      </c>
      <c r="HU9" s="9"/>
      <c r="HV9" s="8">
        <f>SUM(HV10:HV16)</f>
        <v>-5870340.9900000002</v>
      </c>
      <c r="HW9" s="8"/>
      <c r="HX9" s="63">
        <f>SUM(HX10:HX16)</f>
        <v>-1679254.61</v>
      </c>
      <c r="HY9" s="8"/>
      <c r="HZ9" s="8">
        <f>SUM(HZ10:HZ16)</f>
        <v>-2077435.7405000001</v>
      </c>
      <c r="IA9" s="8"/>
      <c r="IB9" s="8">
        <f>SUM(IB10:IB16)</f>
        <v>568135.17311476835</v>
      </c>
      <c r="IC9" s="8"/>
      <c r="ID9" s="8">
        <f t="shared" ref="ID9:ID16" si="13">SUM(HT9:IB9)</f>
        <v>-33316087.397385225</v>
      </c>
      <c r="IG9" s="7" t="s">
        <v>41</v>
      </c>
      <c r="IH9" s="8">
        <f>SUM(IH10:IH16)</f>
        <v>-83535568.189999998</v>
      </c>
      <c r="II9" s="9"/>
      <c r="IJ9" s="8">
        <f>SUM(IJ10:IJ16)</f>
        <v>-23361228.52</v>
      </c>
      <c r="IK9" s="8"/>
      <c r="IL9" s="63">
        <f>SUM(IL10:IL16)</f>
        <v>-5148242.1800000006</v>
      </c>
      <c r="IM9" s="8"/>
      <c r="IN9" s="8">
        <f>SUM(IN10:IN16)</f>
        <v>-7843543.6519999988</v>
      </c>
      <c r="IO9" s="8"/>
      <c r="IP9" s="8">
        <f>SUM(IP10:IP16)</f>
        <v>2448310.2000000151</v>
      </c>
      <c r="IQ9" s="8"/>
      <c r="IR9" s="8">
        <f t="shared" ref="IR9:IR16" si="14">SUM(IH9:IP9)</f>
        <v>-117440272.34199998</v>
      </c>
      <c r="IU9" s="7" t="s">
        <v>41</v>
      </c>
      <c r="IV9" s="8">
        <f>SUM(IV10:IV16)</f>
        <v>-45211255.809999995</v>
      </c>
      <c r="IW9" s="9"/>
      <c r="IX9" s="8">
        <f>SUM(IX10:IX16)</f>
        <v>-17287261.200000003</v>
      </c>
      <c r="IY9" s="8"/>
      <c r="IZ9" s="63">
        <f>SUM(IZ10:IZ16)</f>
        <v>-4059241.44</v>
      </c>
      <c r="JA9" s="8"/>
      <c r="JB9" s="8">
        <f>SUM(JB10:JB16)</f>
        <v>-5519988.9514999995</v>
      </c>
      <c r="JC9" s="8"/>
      <c r="JD9" s="8">
        <f>SUM(JD10:JD16)</f>
        <v>1882811.0524391057</v>
      </c>
      <c r="JE9" s="8"/>
      <c r="JF9" s="8">
        <f>SUM(IV9:JD9)</f>
        <v>-70194936.349060893</v>
      </c>
      <c r="JI9" s="7" t="s">
        <v>41</v>
      </c>
      <c r="JJ9" s="8">
        <f>SUM(JJ10:JJ16)</f>
        <v>-37549733.25</v>
      </c>
      <c r="JK9" s="9"/>
      <c r="JL9" s="8">
        <f>SUM(JL10:JL16)</f>
        <v>-11426065.52</v>
      </c>
      <c r="JM9" s="8"/>
      <c r="JN9" s="63">
        <f>SUM(JN10:JN16)</f>
        <v>-2129258.77</v>
      </c>
      <c r="JO9" s="8"/>
      <c r="JP9" s="8">
        <f>SUM(JP10:JP16)</f>
        <v>-4167828.6710000001</v>
      </c>
      <c r="JQ9" s="8"/>
      <c r="JR9" s="8">
        <f>SUM(JR10:JR16)</f>
        <v>1317725.3241450796</v>
      </c>
      <c r="JS9" s="8"/>
      <c r="JT9" s="8">
        <f t="shared" ref="JT9:JT16" si="15">SUM(JJ9:JR9)</f>
        <v>-53955160.886854917</v>
      </c>
      <c r="JW9" s="7" t="s">
        <v>41</v>
      </c>
      <c r="JX9" s="8">
        <f>SUM(JX10:JX16)</f>
        <v>-22165179.329999998</v>
      </c>
      <c r="JY9" s="9"/>
      <c r="JZ9" s="8">
        <f>SUM(JZ10:JZ16)</f>
        <v>-5455862.3399999999</v>
      </c>
      <c r="KA9" s="8"/>
      <c r="KB9" s="63">
        <f>SUM(KB10:KB16)</f>
        <v>-986335.2300000001</v>
      </c>
      <c r="KC9" s="8"/>
      <c r="KD9" s="8">
        <f>SUM(KD10:KD16)</f>
        <v>-1951773.7105</v>
      </c>
      <c r="KE9" s="8"/>
      <c r="KF9" s="8">
        <f>SUM(KF10:KF16)</f>
        <v>807044.30858654773</v>
      </c>
      <c r="KG9" s="8"/>
      <c r="KH9" s="8">
        <f t="shared" ref="KH9:KH16" si="16">SUM(JX9:KF9)</f>
        <v>-29752106.301913451</v>
      </c>
      <c r="KK9" s="7" t="s">
        <v>41</v>
      </c>
      <c r="KL9" s="8">
        <f>SUM(KL10:KL16)</f>
        <v>-80031237.929999992</v>
      </c>
      <c r="KM9" s="9"/>
      <c r="KN9" s="8">
        <f>SUM(KN10:KN16)</f>
        <v>-23276284.899999999</v>
      </c>
      <c r="KO9" s="8"/>
      <c r="KP9" s="63">
        <f>SUM(KP10:KP16)</f>
        <v>-4371109.4399999995</v>
      </c>
      <c r="KQ9" s="8"/>
      <c r="KR9" s="8">
        <f>SUM(KR10:KR16)</f>
        <v>-8535244.9220000003</v>
      </c>
      <c r="KS9" s="8"/>
      <c r="KT9" s="8">
        <f>SUM(KT10:KT16)</f>
        <v>2859102.2061544051</v>
      </c>
      <c r="KU9" s="8"/>
      <c r="KV9" s="8">
        <f t="shared" ref="KV9:KV16" si="17">SUM(KL9:KT9)</f>
        <v>-113354774.98584558</v>
      </c>
      <c r="KY9" s="7" t="s">
        <v>41</v>
      </c>
      <c r="KZ9" s="8">
        <f>SUM(KZ10:KZ16)</f>
        <v>-63586169.640000001</v>
      </c>
      <c r="LA9" s="9"/>
      <c r="LB9" s="8">
        <f>SUM(LB10:LB16)</f>
        <v>-17775476.849999998</v>
      </c>
      <c r="LC9" s="8"/>
      <c r="LD9" s="63">
        <f>SUM(LD10:LD16)</f>
        <v>-3454748.1500000004</v>
      </c>
      <c r="LE9" s="8"/>
      <c r="LF9" s="8">
        <f>SUM(LF10:LF16)</f>
        <v>-6270845.7715000007</v>
      </c>
      <c r="LG9" s="8"/>
      <c r="LH9" s="8">
        <f>SUM(LH10:LH16)</f>
        <v>2401260.3976768847</v>
      </c>
      <c r="LI9" s="8"/>
      <c r="LJ9" s="8">
        <f>SUM(KZ9:LH9)</f>
        <v>-88685980.013823122</v>
      </c>
      <c r="LM9" s="7" t="s">
        <v>41</v>
      </c>
      <c r="LN9" s="8">
        <f>SUM(LN10:LN16)</f>
        <v>-49911409.200000003</v>
      </c>
      <c r="LO9" s="9"/>
      <c r="LP9" s="8">
        <f>SUM(LP10:LP16)</f>
        <v>-13007921.52</v>
      </c>
      <c r="LQ9" s="8"/>
      <c r="LR9" s="54">
        <f>SUM(LR10:LR16)</f>
        <v>-2351290.3000000003</v>
      </c>
      <c r="LS9" s="8"/>
      <c r="LT9" s="8">
        <f>SUM(LT10:LT16)</f>
        <v>-4230721.7710000006</v>
      </c>
      <c r="LU9" s="8"/>
      <c r="LV9" s="8">
        <f>SUM(LV10:LV16)</f>
        <v>1601467.4799149346</v>
      </c>
      <c r="LW9" s="8"/>
      <c r="LX9" s="8">
        <f>SUM(LN9:LV9)</f>
        <v>-67899875.31108506</v>
      </c>
      <c r="LZ9" s="7" t="s">
        <v>41</v>
      </c>
      <c r="MA9" s="8">
        <f>SUM(MA10:MA16)</f>
        <v>-25323714.989999998</v>
      </c>
      <c r="MB9" s="9"/>
      <c r="MC9" s="8">
        <f>SUM(MC10:MC16)</f>
        <v>-6397705.3600000003</v>
      </c>
      <c r="MD9" s="8"/>
      <c r="ME9" s="54">
        <f>SUM(ME10:ME16)</f>
        <v>-1210291.9100000001</v>
      </c>
      <c r="MF9" s="8"/>
      <c r="MG9" s="8">
        <f>SUM(MG10:MG16)</f>
        <v>-2173657.7505000001</v>
      </c>
      <c r="MH9" s="8"/>
      <c r="MI9" s="8">
        <f>SUM(MI10:MI16)</f>
        <v>800682.19425998745</v>
      </c>
      <c r="MJ9" s="8"/>
      <c r="MK9" s="8">
        <f t="shared" ref="MK9:MK16" si="18">SUM(MA9:MI9)</f>
        <v>-34304687.816240013</v>
      </c>
      <c r="ML9" s="8"/>
      <c r="MM9" s="7" t="s">
        <v>41</v>
      </c>
      <c r="MN9" s="8">
        <f>SUM(MN10:MN16)</f>
        <v>-93077583.420000002</v>
      </c>
      <c r="MO9" s="9"/>
      <c r="MP9" s="8">
        <f>SUM(MP10:MP16)</f>
        <v>-17751939.5</v>
      </c>
      <c r="MQ9" s="8"/>
      <c r="MR9" s="63">
        <f>SUM(MR10:MR16)</f>
        <v>-3509902.8299999991</v>
      </c>
      <c r="MS9" s="8"/>
      <c r="MT9" s="8">
        <f>SUM(MT10:MT16)</f>
        <v>-10904349.152000001</v>
      </c>
      <c r="MU9" s="8"/>
      <c r="MV9" s="8">
        <f>SUM(MV10:MV16)</f>
        <v>3172236.3600000003</v>
      </c>
      <c r="MW9" s="8"/>
      <c r="MX9" s="8">
        <f t="shared" ref="MX9:MX16" si="19">SUM(MN9:MV9)</f>
        <v>-122071538.542</v>
      </c>
      <c r="NA9" s="7" t="s">
        <v>41</v>
      </c>
      <c r="NB9" s="8">
        <f>SUM(NB10:NB16)</f>
        <v>-68656858.989999995</v>
      </c>
      <c r="NC9" s="9"/>
      <c r="ND9" s="8">
        <f>SUM(ND10:ND16)</f>
        <v>-13134866.43</v>
      </c>
      <c r="NE9" s="8"/>
      <c r="NF9" s="63">
        <f>SUM(NF10:NF16)</f>
        <v>-2185697.23</v>
      </c>
      <c r="NG9" s="8"/>
      <c r="NH9" s="8">
        <f>SUM(NH10:NH16)</f>
        <v>-7400165.8114999998</v>
      </c>
      <c r="NI9" s="8"/>
      <c r="NJ9" s="8">
        <f>SUM(NJ10:NJ16)</f>
        <v>2364877.5750000002</v>
      </c>
      <c r="NK9" s="8"/>
      <c r="NL9" s="8">
        <f>SUM(NB9:NJ9)</f>
        <v>-89012710.886499986</v>
      </c>
      <c r="NO9" s="7" t="s">
        <v>41</v>
      </c>
      <c r="NP9" s="8">
        <f>SUM(NP10:NP16)</f>
        <v>-59866459.100000001</v>
      </c>
      <c r="NQ9" s="9"/>
      <c r="NR9" s="8">
        <f>SUM(NR10:NR16)</f>
        <v>-8118970.9499999993</v>
      </c>
      <c r="NS9" s="8"/>
      <c r="NT9" s="54">
        <f>SUM(NT10:NT16)</f>
        <v>-1198439.9299999997</v>
      </c>
      <c r="NU9" s="8"/>
      <c r="NV9" s="8">
        <f>SUM(NV10:NV16)</f>
        <v>-5071619.8556070803</v>
      </c>
      <c r="NW9" s="8"/>
      <c r="NX9" s="8">
        <f>SUM(NX10:NX16)</f>
        <v>1532063.4700000002</v>
      </c>
      <c r="NY9" s="8"/>
      <c r="NZ9" s="8">
        <f>SUM(NP9:NX9)</f>
        <v>-72723426.365607068</v>
      </c>
      <c r="OB9" s="7" t="s">
        <v>41</v>
      </c>
      <c r="OC9" s="8">
        <f>SUM(OC10:OC16)</f>
        <v>-48948377.650000006</v>
      </c>
      <c r="OD9" s="9"/>
      <c r="OE9" s="8">
        <f>SUM(OE10:OE16)</f>
        <v>-4536658.33</v>
      </c>
      <c r="OF9" s="8"/>
      <c r="OG9" s="54">
        <f>SUM(OG10:OG16)</f>
        <v>-684638.23</v>
      </c>
      <c r="OH9" s="8"/>
      <c r="OI9" s="8">
        <f>SUM(OI10:OI16)</f>
        <v>-2162666.6251070802</v>
      </c>
      <c r="OJ9" s="8"/>
      <c r="OK9" s="8">
        <f>SUM(OK10:OK16)</f>
        <v>821344.93499999959</v>
      </c>
      <c r="OL9" s="8"/>
      <c r="OM9" s="8">
        <f t="shared" ref="OM9:OM16" si="20">SUM(OC9:OK9)</f>
        <v>-55510995.900107078</v>
      </c>
      <c r="OO9" s="7" t="s">
        <v>41</v>
      </c>
      <c r="OP9" s="8">
        <f>SUM(OP10:OP16)</f>
        <v>-66460775.200000003</v>
      </c>
      <c r="OQ9" s="9"/>
      <c r="OR9" s="8">
        <f>SUM(OR10:OR16)</f>
        <v>-27405381.16</v>
      </c>
      <c r="OS9" s="8"/>
      <c r="OT9" s="54">
        <f>SUM(OT10:OT16)</f>
        <v>-3232677.0500000007</v>
      </c>
      <c r="OU9" s="8"/>
      <c r="OV9" s="8">
        <f>SUM(OV10:OV16)</f>
        <v>-4109432.4902333347</v>
      </c>
      <c r="OW9" s="8"/>
      <c r="OX9" s="8">
        <f>SUM(OX10:OX16)</f>
        <v>7516295.842166678</v>
      </c>
      <c r="OY9" s="8"/>
      <c r="OZ9" s="8">
        <f t="shared" ref="OZ9:OZ16" si="21">SUM(OP9:OX9)</f>
        <v>-93691970.058066651</v>
      </c>
      <c r="PA9" s="23"/>
      <c r="PB9" s="7" t="s">
        <v>41</v>
      </c>
      <c r="PC9" s="8">
        <f>SUM(PC10:PC16)</f>
        <v>-50411403.300000004</v>
      </c>
      <c r="PD9" s="9"/>
      <c r="PE9" s="8">
        <f>SUM(PE10:PE16)</f>
        <v>-23692073.919999994</v>
      </c>
      <c r="PF9" s="8"/>
      <c r="PG9" s="40">
        <f>SUM(PG10:PG16)</f>
        <v>0</v>
      </c>
      <c r="PH9" s="8"/>
      <c r="PI9" s="8">
        <f>SUM(PI10:PI16)</f>
        <v>-342307.8797333315</v>
      </c>
      <c r="PJ9" s="8"/>
      <c r="PK9" s="8">
        <f>SUM(PK10:PK16)</f>
        <v>7509283.5347083332</v>
      </c>
      <c r="PL9" s="8"/>
      <c r="PM9" s="8">
        <f t="shared" ref="PM9:PM16" si="22">SUM(PC9:PK9)</f>
        <v>-66936501.565024987</v>
      </c>
      <c r="PN9" s="23"/>
      <c r="PO9" s="7" t="s">
        <v>41</v>
      </c>
      <c r="PP9" s="8">
        <f>SUM(PP10:PP16)</f>
        <v>-44735651.740000002</v>
      </c>
      <c r="PQ9" s="9"/>
      <c r="PR9" s="8">
        <f>SUM(PR10:PR16)</f>
        <v>-18874562.060000002</v>
      </c>
      <c r="PS9" s="8"/>
      <c r="PT9" s="40">
        <f>SUM(PT10:PT16)</f>
        <v>0</v>
      </c>
      <c r="PU9" s="8"/>
      <c r="PV9" s="8">
        <f>SUM(PV10:PV16)</f>
        <v>-1113367.3603333333</v>
      </c>
      <c r="PW9" s="8"/>
      <c r="PX9" s="8">
        <f>SUM(PX10:PX16)</f>
        <v>6270793.0128333326</v>
      </c>
      <c r="PY9" s="8"/>
      <c r="PZ9" s="8">
        <f t="shared" ref="PZ9:PZ16" si="23">SUM(PP9:PX9)</f>
        <v>-58452788.147500001</v>
      </c>
      <c r="QA9" s="23"/>
      <c r="QB9" s="7" t="s">
        <v>41</v>
      </c>
      <c r="QC9" s="8">
        <f>SUM(QC10:QC16)</f>
        <v>-40953103.859999999</v>
      </c>
      <c r="QD9" s="9"/>
      <c r="QE9" s="8">
        <f>SUM(QE10:QE16)</f>
        <v>-15118727.800000001</v>
      </c>
      <c r="QF9" s="8"/>
      <c r="QG9" s="40">
        <f>SUM(QG10:QG16)</f>
        <v>0</v>
      </c>
      <c r="QH9" s="8"/>
      <c r="QI9" s="8">
        <f>SUM(QI10:QI16)</f>
        <v>-6694019.4499999993</v>
      </c>
      <c r="QJ9" s="8"/>
      <c r="QK9" s="8">
        <f>SUM(QK10:QK16)</f>
        <v>5265694.1602083342</v>
      </c>
      <c r="QL9" s="8"/>
      <c r="QM9" s="8">
        <f t="shared" ref="QM9:QM16" si="24">SUM(QC9:QK9)</f>
        <v>-57500156.949791662</v>
      </c>
      <c r="QN9" s="23"/>
      <c r="QO9" s="7" t="s">
        <v>41</v>
      </c>
      <c r="QP9" s="8">
        <f>SUM(QP10:QP16)</f>
        <v>-13226987.489999998</v>
      </c>
      <c r="QQ9" s="9"/>
      <c r="QR9" s="8">
        <f>SUM(QR10:QR16)</f>
        <v>-10905745.07</v>
      </c>
      <c r="QS9" s="8"/>
      <c r="QT9" s="8">
        <f>SUM(QT10:QT16)</f>
        <v>-2881324.6899999995</v>
      </c>
      <c r="QU9" s="8"/>
      <c r="QV9" s="8">
        <f>SUM(QV10:QV16)</f>
        <v>-4674857.3499999996</v>
      </c>
      <c r="QW9" s="8"/>
      <c r="QX9" s="8">
        <f>SUM(QX10:QX16)</f>
        <v>4175820.6460833335</v>
      </c>
      <c r="QY9" s="8"/>
      <c r="QZ9" s="8">
        <f t="shared" ref="QZ9:QZ16" si="25">SUM(QP9:QX9)</f>
        <v>-27513093.953916669</v>
      </c>
      <c r="RA9" s="23"/>
      <c r="RB9" s="7" t="s">
        <v>41</v>
      </c>
      <c r="RC9" s="8">
        <f>SUM(RC10:RC16)</f>
        <v>-7637715.6799999997</v>
      </c>
      <c r="RD9" s="9"/>
      <c r="RE9" s="8">
        <f>SUM(RE10:RE16)</f>
        <v>-7124540.25</v>
      </c>
      <c r="RF9" s="8"/>
      <c r="RG9" s="8">
        <f>SUM(RG10:RG16)</f>
        <v>-1858873.49</v>
      </c>
      <c r="RH9" s="8"/>
      <c r="RI9" s="8">
        <f>SUM(RI10:RI16)</f>
        <v>-3177991.8299999996</v>
      </c>
      <c r="RJ9" s="8"/>
      <c r="RK9" s="8">
        <f>SUM(RK10:RK16)</f>
        <v>3146634.94</v>
      </c>
      <c r="RL9" s="8"/>
      <c r="RM9" s="8">
        <f t="shared" ref="RM9:RM16" si="26">SUM(RC9:RK9)</f>
        <v>-16652486.310000001</v>
      </c>
      <c r="RN9" s="23"/>
      <c r="RO9" s="7" t="s">
        <v>41</v>
      </c>
      <c r="RP9" s="8">
        <f>SUM(RP10:RP16)</f>
        <v>-3436179.06</v>
      </c>
      <c r="RQ9" s="9"/>
      <c r="RR9" s="8">
        <f>SUM(RR10:RR16)</f>
        <v>-2564919.2400000002</v>
      </c>
      <c r="RS9" s="8"/>
      <c r="RT9" s="8">
        <f>SUM(RT10:RT16)</f>
        <v>-922635.34</v>
      </c>
      <c r="RU9" s="8"/>
      <c r="RV9" s="8">
        <f>SUM(RV10:RV16)</f>
        <v>-1389476.6999999997</v>
      </c>
      <c r="RW9" s="8"/>
      <c r="RX9" s="8">
        <f>SUM(RX10:RX16)</f>
        <v>793820.73999999918</v>
      </c>
      <c r="RY9" s="8"/>
      <c r="RZ9" s="8">
        <f t="shared" ref="RZ9:RZ16" si="27">SUM(RP9:RX9)</f>
        <v>-7519389.6000000006</v>
      </c>
      <c r="SA9" s="23"/>
      <c r="SB9" s="7" t="s">
        <v>41</v>
      </c>
      <c r="SC9" s="8">
        <f>SUM(SC10:SC16)</f>
        <v>-29752037.359999999</v>
      </c>
      <c r="SD9" s="9"/>
      <c r="SE9" s="8">
        <f>SUM(SE10:SE16)</f>
        <v>-14360749.429999998</v>
      </c>
      <c r="SF9" s="8"/>
      <c r="SG9" s="8">
        <f>SUM(SG10:SG16)</f>
        <v>-3896408.74</v>
      </c>
      <c r="SH9" s="8"/>
      <c r="SI9" s="8">
        <f>SUM(SI10:SI16)</f>
        <v>-6237152.6499999994</v>
      </c>
      <c r="SJ9" s="8"/>
      <c r="SK9" s="8">
        <f>SUM(SK10:SK16)</f>
        <v>6941287.7299999986</v>
      </c>
      <c r="SL9" s="8"/>
      <c r="SM9" s="8">
        <f t="shared" ref="SM9:SM16" si="28">SUM(SC9:SK9)</f>
        <v>-47305060.450000003</v>
      </c>
      <c r="SN9" s="23"/>
      <c r="SO9" s="7" t="s">
        <v>41</v>
      </c>
      <c r="SP9" s="8">
        <f>SUM(SP10:SP16)</f>
        <v>-21180656.199999999</v>
      </c>
      <c r="SQ9" s="9"/>
      <c r="SR9" s="8">
        <f>SUM(SR10:SR16)</f>
        <v>-8316440.6499999985</v>
      </c>
      <c r="SS9" s="8"/>
      <c r="ST9" s="8">
        <f>SUM(ST10:ST16)</f>
        <v>-2842227.1</v>
      </c>
      <c r="SU9" s="8"/>
      <c r="SV9" s="8">
        <f>SUM(SV10:SV16)</f>
        <v>-5204542.79</v>
      </c>
      <c r="SW9" s="8"/>
      <c r="SX9" s="8">
        <f>SUM(SX10:SX16)</f>
        <v>3313200.3800000004</v>
      </c>
      <c r="SY9" s="8"/>
      <c r="SZ9" s="8">
        <f t="shared" ref="SZ9:SZ16" si="29">SUM(SP9:SX9)</f>
        <v>-34230666.359999999</v>
      </c>
      <c r="TA9" s="23"/>
      <c r="TB9" s="7" t="s">
        <v>41</v>
      </c>
      <c r="TC9" s="8">
        <f>SUM(TC10:TC16)</f>
        <v>-11844504.710000001</v>
      </c>
      <c r="TD9" s="9"/>
      <c r="TE9" s="8">
        <f>SUM(TE10:TE16)</f>
        <v>-5477909.7100000009</v>
      </c>
      <c r="TF9" s="8"/>
      <c r="TG9" s="8">
        <f>SUM(TG10:TG16)</f>
        <v>-1933665.87</v>
      </c>
      <c r="TH9" s="8"/>
      <c r="TI9" s="8">
        <f>SUM(TI10:TI16)</f>
        <v>-3295824.4400000004</v>
      </c>
      <c r="TJ9" s="8"/>
      <c r="TK9" s="8">
        <f>SUM(TK10:TK16)</f>
        <v>2424010.39</v>
      </c>
      <c r="TL9" s="2"/>
      <c r="TM9" s="8">
        <f t="shared" ref="TM9:TM16" si="30">SUM(TC9:TK9)</f>
        <v>-20127894.340000004</v>
      </c>
      <c r="TN9" s="23"/>
      <c r="TO9" s="7" t="s">
        <v>41</v>
      </c>
      <c r="TP9" s="8">
        <f>SUM(TP10:TP16)</f>
        <v>-3833105.3600000003</v>
      </c>
      <c r="TQ9" s="9"/>
      <c r="TR9" s="8">
        <f>SUM(TR10:TR16)</f>
        <v>-2331676.35</v>
      </c>
      <c r="TS9" s="8"/>
      <c r="TT9" s="8">
        <f>SUM(TT10:TT16)</f>
        <v>-1004460.6900000001</v>
      </c>
      <c r="TU9" s="8"/>
      <c r="TV9" s="8">
        <f>SUM(TV10:TV16)</f>
        <v>-1577570.4999999998</v>
      </c>
      <c r="TW9" s="8"/>
      <c r="TX9" s="8">
        <f>SUM(TX10:TX16)</f>
        <v>891678.28999999992</v>
      </c>
      <c r="TY9" s="2"/>
      <c r="TZ9" s="8">
        <f t="shared" ref="TZ9:TZ16" si="31">SUM(TP9:TX9)</f>
        <v>-7855134.6100000003</v>
      </c>
      <c r="UA9" s="23"/>
      <c r="UB9" s="7" t="s">
        <v>41</v>
      </c>
      <c r="UC9" s="8">
        <f>SUM(UC10:UC16)</f>
        <v>-64531563.640000001</v>
      </c>
      <c r="UD9" s="9"/>
      <c r="UE9" s="8">
        <f>SUM(UE10:UE16)</f>
        <v>-12456000.600000001</v>
      </c>
      <c r="UF9" s="8"/>
      <c r="UG9" s="8">
        <f>SUM(UG10:UG16)</f>
        <v>-4535529.3999999994</v>
      </c>
      <c r="UH9" s="8">
        <f>SUM(UH10:UH16)</f>
        <v>0</v>
      </c>
      <c r="UI9" s="8">
        <f>SUM(UI10:UI16)</f>
        <v>-9006327.02999999</v>
      </c>
      <c r="UJ9" s="8"/>
      <c r="UK9" s="8">
        <f>SUM(UK10:UK16)</f>
        <v>6361779.650000005</v>
      </c>
      <c r="UL9" s="8"/>
      <c r="UM9" s="8">
        <f t="shared" ref="UM9:UM16" si="32">SUM(UC9:UK9)</f>
        <v>-84167641.019999996</v>
      </c>
      <c r="UN9" s="23"/>
      <c r="UO9" s="7" t="s">
        <v>41</v>
      </c>
      <c r="UP9" s="8">
        <f>SUM(UP10:UP16)</f>
        <v>-44688948.549999997</v>
      </c>
      <c r="UQ9" s="9"/>
      <c r="UR9" s="8">
        <f>SUM(UR10:UR16)</f>
        <v>-8316110.2999999998</v>
      </c>
      <c r="US9" s="8"/>
      <c r="UT9" s="8">
        <f>SUM(UT10:UT16)</f>
        <v>-3264331.8200000003</v>
      </c>
      <c r="UU9" s="8">
        <f>SUM(UU10:UU16)</f>
        <v>0</v>
      </c>
      <c r="UV9" s="8">
        <f>SUM(UV10:UV16)</f>
        <v>-7064885.4699999969</v>
      </c>
      <c r="UW9" s="8"/>
      <c r="UX9" s="8">
        <f>SUM(UX10:UX16)</f>
        <v>4093792.0800000038</v>
      </c>
      <c r="UY9" s="8"/>
      <c r="UZ9" s="8">
        <f t="shared" ref="UZ9:UZ16" si="33">SUM(UP9:UX9)</f>
        <v>-59240484.059999987</v>
      </c>
      <c r="VA9" s="23"/>
      <c r="VB9" s="23" t="s">
        <v>41</v>
      </c>
      <c r="VC9" s="8">
        <v>-10598189.4</v>
      </c>
      <c r="VD9" s="9"/>
      <c r="VE9" s="8">
        <v>-5685500.21</v>
      </c>
      <c r="VF9" s="8"/>
      <c r="VG9" s="8">
        <v>-1863582.81</v>
      </c>
      <c r="VH9" s="8"/>
      <c r="VI9" s="8">
        <v>-4734894.21</v>
      </c>
      <c r="VJ9" s="8"/>
      <c r="VK9" s="8">
        <v>2391429.2799999998</v>
      </c>
      <c r="VL9" s="2"/>
      <c r="VM9" s="8">
        <v>-20490737.350000001</v>
      </c>
      <c r="VN9" s="23"/>
      <c r="VO9" s="23" t="s">
        <v>41</v>
      </c>
      <c r="VP9" s="8">
        <f>-6024.16744*1000</f>
        <v>-6024167.4400000004</v>
      </c>
      <c r="VQ9" s="9"/>
      <c r="VR9" s="8">
        <f>-2809.19677*1000</f>
        <v>-2809196.77</v>
      </c>
      <c r="VS9" s="8"/>
      <c r="VT9" s="8">
        <f>-914.48935*1000</f>
        <v>-914489.35</v>
      </c>
      <c r="VU9" s="8"/>
      <c r="VV9" s="8">
        <f>-2305.0016*1000</f>
        <v>-2305001.6</v>
      </c>
      <c r="VW9" s="8"/>
      <c r="VX9" s="8">
        <f>1162.08169*1000</f>
        <v>1162081.69</v>
      </c>
      <c r="VY9" s="2"/>
      <c r="VZ9" s="8">
        <f>-10890.77347*1000</f>
        <v>-10890773.470000001</v>
      </c>
      <c r="WA9" s="23"/>
      <c r="WB9" s="7" t="s">
        <v>41</v>
      </c>
      <c r="WC9" s="8">
        <f>SUM(WC10:WC16)</f>
        <v>-52217010.289999992</v>
      </c>
      <c r="WD9" s="9"/>
      <c r="WE9" s="8">
        <f>SUM(WE10:WE16)</f>
        <v>-12214078.01</v>
      </c>
      <c r="WF9" s="8"/>
      <c r="WG9" s="8">
        <f>SUM(WG10:WG16)</f>
        <v>-4179912.33</v>
      </c>
      <c r="WH9" s="8"/>
      <c r="WI9" s="8">
        <f>SUM(WI10:WI16)</f>
        <v>-9536169.9100000001</v>
      </c>
      <c r="WJ9" s="8"/>
      <c r="WK9" s="8">
        <f>SUM(WK10:WK16)</f>
        <v>4853399.5400000028</v>
      </c>
      <c r="WL9" s="8"/>
      <c r="WM9" s="8">
        <f t="shared" ref="WM9:WM16" si="34">SUM(WC9:WK9)</f>
        <v>-73293770.999999985</v>
      </c>
      <c r="WN9" s="23"/>
      <c r="WO9" s="7" t="s">
        <v>41</v>
      </c>
      <c r="WP9" s="8">
        <f>SUM(WP10:WP16)</f>
        <v>-30898360.009999998</v>
      </c>
      <c r="WQ9" s="9"/>
      <c r="WR9" s="8">
        <f>SUM(WR10:WR16)</f>
        <v>-9211451.0520599335</v>
      </c>
      <c r="WS9" s="8"/>
      <c r="WT9" s="8">
        <f>SUM(WT10:WT16)</f>
        <v>-3165318</v>
      </c>
      <c r="WU9" s="8">
        <f>SUM(WU10:WU16)</f>
        <v>0</v>
      </c>
      <c r="WV9" s="8">
        <f>SUM(WV10:WV16)</f>
        <v>-5918169.6500000004</v>
      </c>
      <c r="WW9" s="8"/>
      <c r="WX9" s="8">
        <f>SUM(WX10:WX16)</f>
        <v>3733356.65</v>
      </c>
      <c r="WY9" s="8"/>
      <c r="WZ9" s="8">
        <f t="shared" ref="WZ9:WZ16" si="35">SUM(WP9:WX9)</f>
        <v>-45459942.062059931</v>
      </c>
      <c r="XA9" s="23"/>
      <c r="XB9" s="23" t="s">
        <v>41</v>
      </c>
      <c r="XC9" s="8">
        <v>-16146311.9670662</v>
      </c>
      <c r="XD9" s="9"/>
      <c r="XE9" s="8">
        <v>-6335083.8499999996</v>
      </c>
      <c r="XF9" s="8"/>
      <c r="XG9" s="8">
        <v>-2010841.26</v>
      </c>
      <c r="XH9" s="8"/>
      <c r="XI9" s="8">
        <v>-4129027.34</v>
      </c>
      <c r="XJ9" s="8"/>
      <c r="XK9" s="8">
        <v>2543853.9900000002</v>
      </c>
      <c r="XL9" s="2"/>
      <c r="XM9" s="8">
        <v>26077410.427066207</v>
      </c>
      <c r="XN9" s="8"/>
      <c r="XO9" s="23" t="s">
        <v>41</v>
      </c>
      <c r="XP9" s="8">
        <f>-4286.9516*1000</f>
        <v>-4286951.6000000006</v>
      </c>
      <c r="XQ9" s="9"/>
      <c r="XR9" s="8">
        <f>-2939.96235*1000</f>
        <v>-2939962.3499999996</v>
      </c>
      <c r="XS9" s="8"/>
      <c r="XT9" s="8">
        <f>-977.27302*1000</f>
        <v>-977273.02</v>
      </c>
      <c r="XU9" s="8">
        <v>0</v>
      </c>
      <c r="XV9" s="8">
        <f>-1943.6473135331*1000</f>
        <v>-1943647.3135331001</v>
      </c>
      <c r="XW9" s="8"/>
      <c r="XX9" s="8">
        <f>1584.85475*1000</f>
        <v>1584854.75</v>
      </c>
      <c r="XY9" s="2"/>
      <c r="XZ9" s="8">
        <f>-8562.9795335331*1000</f>
        <v>-8562979.5335331</v>
      </c>
      <c r="YA9" s="8"/>
      <c r="YB9" s="23" t="s">
        <v>41</v>
      </c>
      <c r="YC9" s="8">
        <f>SUM(YC10:YC16)</f>
        <v>-46054032.030000001</v>
      </c>
      <c r="YD9" s="9"/>
      <c r="YE9" s="8">
        <f>SUM(YE10:YE16)</f>
        <v>-11460017.679999998</v>
      </c>
      <c r="YF9" s="8"/>
      <c r="YG9" s="8">
        <f>SUM(YG10:YG16)</f>
        <v>-5309885.12</v>
      </c>
      <c r="YH9" s="8"/>
      <c r="YI9" s="8">
        <f>SUM(YI10:YI16)</f>
        <v>-7921942.0299584605</v>
      </c>
      <c r="YJ9" s="8">
        <f>SUM(YJ10:YJ16)</f>
        <v>0</v>
      </c>
      <c r="YK9" s="8">
        <f>SUM(YK10:YK16)</f>
        <v>3717603.7065045964</v>
      </c>
      <c r="YL9" s="2"/>
      <c r="YM9" s="8">
        <f t="shared" ref="YM9:YM16" si="36">SUM(YC9:YK9)</f>
        <v>-67028273.153453857</v>
      </c>
      <c r="YN9" s="8"/>
      <c r="YO9" s="7" t="s">
        <v>41</v>
      </c>
      <c r="YP9" s="8">
        <f>SUM(YP10:YP16)</f>
        <v>-27643710.150000002</v>
      </c>
      <c r="YQ9" s="9"/>
      <c r="YR9" s="8">
        <f>SUM(YR10:YR16)</f>
        <v>-8454958.3999999985</v>
      </c>
      <c r="YS9" s="8"/>
      <c r="YT9" s="8">
        <f>SUM(YT10:YT16)</f>
        <v>-3976316</v>
      </c>
      <c r="YU9" s="8"/>
      <c r="YV9" s="8">
        <f>SUM(YV10:YV16)</f>
        <v>-5373870.9269409906</v>
      </c>
      <c r="YW9" s="8">
        <f>SUM(YW10:YW16)</f>
        <v>0</v>
      </c>
      <c r="YX9" s="8">
        <f>SUM(YX10:YX16)</f>
        <v>3988162.46</v>
      </c>
      <c r="YY9" s="2"/>
      <c r="YZ9" s="8">
        <f t="shared" ref="YZ9:YZ16" si="37">SUM(YP9:YX9)</f>
        <v>-41460693.016940989</v>
      </c>
    </row>
    <row r="10" spans="1:676">
      <c r="A10" s="47" t="s">
        <v>22</v>
      </c>
      <c r="B10" s="2">
        <v>-36985913.32</v>
      </c>
      <c r="C10" s="71"/>
      <c r="D10" s="2">
        <v>-24492190.300000001</v>
      </c>
      <c r="E10" s="71"/>
      <c r="F10" s="2">
        <v>0</v>
      </c>
      <c r="G10" s="71"/>
      <c r="H10" s="2">
        <v>0</v>
      </c>
      <c r="I10" s="71"/>
      <c r="J10" s="2">
        <v>-1245570.3500000001</v>
      </c>
      <c r="K10" s="71"/>
      <c r="L10" s="2">
        <v>3487244.9</v>
      </c>
      <c r="M10" s="71"/>
      <c r="N10" s="71">
        <f t="shared" ref="N10:N16" si="38">SUM(B10:L10)</f>
        <v>-59236429.070000008</v>
      </c>
      <c r="Q10" s="47" t="s">
        <v>22</v>
      </c>
      <c r="R10" s="2">
        <v>-27220064.09675023</v>
      </c>
      <c r="S10" s="71"/>
      <c r="T10" s="2">
        <v>-17458932.516726539</v>
      </c>
      <c r="U10" s="71"/>
      <c r="V10" s="2">
        <v>0</v>
      </c>
      <c r="W10" s="2"/>
      <c r="X10" s="2">
        <v>0</v>
      </c>
      <c r="Y10" s="71"/>
      <c r="Z10" s="2">
        <v>-952387.94</v>
      </c>
      <c r="AA10" s="71"/>
      <c r="AB10" s="2">
        <v>2674309.4699999997</v>
      </c>
      <c r="AC10" s="71"/>
      <c r="AD10" s="71">
        <f t="shared" ref="AD10:AD16" si="39">SUM(R10:AB10)</f>
        <v>-42957075.083476767</v>
      </c>
      <c r="AG10" s="47" t="s">
        <v>22</v>
      </c>
      <c r="AH10" s="2">
        <v>-17549084.398106001</v>
      </c>
      <c r="AI10" s="71"/>
      <c r="AJ10" s="2">
        <v>-11352972.132817421</v>
      </c>
      <c r="AK10" s="71"/>
      <c r="AL10" s="2">
        <v>0</v>
      </c>
      <c r="AM10" s="2"/>
      <c r="AN10" s="2">
        <v>0</v>
      </c>
      <c r="AO10" s="71"/>
      <c r="AP10" s="2">
        <v>-664676.51</v>
      </c>
      <c r="AQ10" s="71"/>
      <c r="AR10" s="2">
        <v>1841115.05</v>
      </c>
      <c r="AS10" s="71"/>
      <c r="AT10" s="71">
        <f t="shared" ref="AT10:AT16" si="40">SUM(AH10:AR10)</f>
        <v>-27725617.990923423</v>
      </c>
      <c r="AW10" s="47" t="s">
        <v>22</v>
      </c>
      <c r="AX10" s="2">
        <v>-8529835.6392470002</v>
      </c>
      <c r="AY10" s="70"/>
      <c r="AZ10" s="2">
        <v>-5623880.9762128126</v>
      </c>
      <c r="BA10" s="61"/>
      <c r="BB10" s="2">
        <v>0</v>
      </c>
      <c r="BC10" s="2"/>
      <c r="BD10" s="2">
        <v>0</v>
      </c>
      <c r="BE10" s="61"/>
      <c r="BF10" s="2">
        <v>-305794.76</v>
      </c>
      <c r="BG10" s="61"/>
      <c r="BH10" s="2">
        <v>894644.75</v>
      </c>
      <c r="BI10" s="71"/>
      <c r="BJ10" s="71">
        <f t="shared" si="3"/>
        <v>-13564866.625459813</v>
      </c>
      <c r="BM10" s="47" t="s">
        <v>22</v>
      </c>
      <c r="BN10" s="2">
        <v>-30361969.012389999</v>
      </c>
      <c r="BO10" s="71"/>
      <c r="BP10" s="2">
        <v>-20446399.011784613</v>
      </c>
      <c r="BQ10" s="71"/>
      <c r="BR10" s="2">
        <v>0</v>
      </c>
      <c r="BS10" s="71"/>
      <c r="BT10" s="2">
        <v>0</v>
      </c>
      <c r="BU10" s="71"/>
      <c r="BV10" s="2">
        <v>-1395181.06</v>
      </c>
      <c r="BW10" s="71"/>
      <c r="BX10" s="2">
        <v>3340496.1849166672</v>
      </c>
      <c r="BY10" s="71"/>
      <c r="BZ10" s="71">
        <f t="shared" si="4"/>
        <v>-48863052.89925795</v>
      </c>
      <c r="CC10" s="47" t="s">
        <v>22</v>
      </c>
      <c r="CD10" s="2">
        <v>-22256577.894570556</v>
      </c>
      <c r="CE10" s="71"/>
      <c r="CF10" s="2">
        <v>-14969775.712042382</v>
      </c>
      <c r="CG10" s="71"/>
      <c r="CH10" s="2">
        <v>0</v>
      </c>
      <c r="CI10" s="2"/>
      <c r="CJ10" s="2">
        <v>0</v>
      </c>
      <c r="CK10" s="71"/>
      <c r="CL10" s="2">
        <v>-1075102.44</v>
      </c>
      <c r="CM10" s="71"/>
      <c r="CN10" s="2">
        <v>2448664.1</v>
      </c>
      <c r="CO10" s="71"/>
      <c r="CP10" s="71">
        <f t="shared" si="5"/>
        <v>-35852791.946612932</v>
      </c>
      <c r="CS10" s="47" t="s">
        <v>22</v>
      </c>
      <c r="CT10" s="2">
        <v>-14631029.766927999</v>
      </c>
      <c r="CU10" s="71"/>
      <c r="CV10" s="2">
        <v>-9956603.6255128235</v>
      </c>
      <c r="CW10" s="71"/>
      <c r="CX10" s="2">
        <v>0</v>
      </c>
      <c r="CY10" s="2"/>
      <c r="CZ10" s="2">
        <v>0</v>
      </c>
      <c r="DA10" s="71"/>
      <c r="DB10" s="2">
        <v>-781838.55</v>
      </c>
      <c r="DC10" s="71"/>
      <c r="DD10" s="2">
        <v>1598674.96</v>
      </c>
      <c r="DE10" s="71"/>
      <c r="DF10" s="71">
        <f t="shared" si="6"/>
        <v>-23770796.982440822</v>
      </c>
      <c r="DI10" s="47" t="s">
        <v>22</v>
      </c>
      <c r="DJ10" s="2">
        <v>-6642677.7900859993</v>
      </c>
      <c r="DK10" s="71"/>
      <c r="DL10" s="2">
        <v>-4713120.5078931879</v>
      </c>
      <c r="DM10" s="71"/>
      <c r="DN10" s="2">
        <v>0</v>
      </c>
      <c r="DO10" s="2"/>
      <c r="DP10" s="2">
        <v>0</v>
      </c>
      <c r="DQ10" s="71"/>
      <c r="DR10" s="2">
        <v>-471033.61</v>
      </c>
      <c r="DS10" s="71"/>
      <c r="DT10" s="2">
        <v>786496.08000000007</v>
      </c>
      <c r="DU10" s="71"/>
      <c r="DV10" s="71">
        <f t="shared" si="7"/>
        <v>-11040335.827979187</v>
      </c>
      <c r="DY10" s="47" t="s">
        <v>22</v>
      </c>
      <c r="DZ10" s="61">
        <v>-20714141.159222331</v>
      </c>
      <c r="EA10" s="71"/>
      <c r="EB10" s="61">
        <v>-18582379.955368586</v>
      </c>
      <c r="EC10" s="71"/>
      <c r="ED10" s="61">
        <v>0</v>
      </c>
      <c r="EE10" s="71"/>
      <c r="EF10" s="61">
        <v>-1367787.63</v>
      </c>
      <c r="EG10" s="71"/>
      <c r="EH10" s="61">
        <v>2993430.6245909194</v>
      </c>
      <c r="EI10" s="71"/>
      <c r="EJ10" s="71">
        <f t="shared" si="8"/>
        <v>-37670878.119999997</v>
      </c>
      <c r="EM10" s="47" t="s">
        <v>22</v>
      </c>
      <c r="EN10" s="2">
        <v>-15060909.152688779</v>
      </c>
      <c r="EO10" s="48"/>
      <c r="EP10" s="2">
        <v>-13878975.775547389</v>
      </c>
      <c r="EQ10" s="48"/>
      <c r="ER10" s="2">
        <v>0</v>
      </c>
      <c r="ES10" s="48"/>
      <c r="ET10" s="2">
        <v>-1017469.74</v>
      </c>
      <c r="EU10" s="48"/>
      <c r="EV10" s="2">
        <v>2173320.7657499998</v>
      </c>
      <c r="EW10" s="48"/>
      <c r="EX10" s="48">
        <f t="shared" ref="EX10:EX16" si="41">SUM(EN10:EV10)</f>
        <v>-27784033.902486168</v>
      </c>
      <c r="FA10" s="47" t="s">
        <v>22</v>
      </c>
      <c r="FB10" s="2">
        <v>-10065196.728850335</v>
      </c>
      <c r="FC10" s="48"/>
      <c r="FD10" s="2">
        <v>-9365683.8785488233</v>
      </c>
      <c r="FE10" s="48"/>
      <c r="FF10" s="2">
        <v>0</v>
      </c>
      <c r="FG10" s="48"/>
      <c r="FH10" s="2">
        <v>-667199.63</v>
      </c>
      <c r="FI10" s="48"/>
      <c r="FJ10" s="2">
        <v>1440780.7004999998</v>
      </c>
      <c r="FK10" s="48"/>
      <c r="FL10" s="48">
        <f t="shared" si="9"/>
        <v>-18657299.536899157</v>
      </c>
      <c r="FO10" s="47" t="s">
        <v>22</v>
      </c>
      <c r="FP10" s="2">
        <v>-3937027.4353866666</v>
      </c>
      <c r="FQ10" s="48"/>
      <c r="FR10" s="2">
        <v>-4617529.6964099538</v>
      </c>
      <c r="FS10" s="48"/>
      <c r="FT10" s="2">
        <v>0</v>
      </c>
      <c r="FU10" s="48"/>
      <c r="FV10" s="2">
        <v>-317223.04000000004</v>
      </c>
      <c r="FW10" s="48"/>
      <c r="FX10" s="2">
        <v>682111.89525000006</v>
      </c>
      <c r="FY10" s="48"/>
      <c r="FZ10" s="48">
        <f t="shared" si="10"/>
        <v>-8189668.2765466198</v>
      </c>
      <c r="GC10" s="47" t="s">
        <v>22</v>
      </c>
      <c r="GD10" s="2">
        <v>-11702801.371681999</v>
      </c>
      <c r="GE10" s="48"/>
      <c r="GF10" s="2">
        <v>-17485357.994719513</v>
      </c>
      <c r="GG10" s="48"/>
      <c r="GH10" s="2">
        <v>0</v>
      </c>
      <c r="GI10" s="48"/>
      <c r="GJ10" s="2">
        <v>-1191251.33</v>
      </c>
      <c r="GK10" s="48"/>
      <c r="GL10" s="2">
        <v>2712038.9729999998</v>
      </c>
      <c r="GM10" s="48"/>
      <c r="GN10" s="48">
        <f t="shared" si="11"/>
        <v>-27667371.723401513</v>
      </c>
      <c r="GQ10" s="47" t="s">
        <v>22</v>
      </c>
      <c r="GR10" s="2">
        <v>-9127919.0766819995</v>
      </c>
      <c r="GS10" s="48"/>
      <c r="GT10" s="2">
        <v>-12582265.659999998</v>
      </c>
      <c r="GU10" s="48"/>
      <c r="GV10" s="2">
        <v>0</v>
      </c>
      <c r="GW10" s="48"/>
      <c r="GX10" s="2">
        <v>-851995.46</v>
      </c>
      <c r="GY10" s="48"/>
      <c r="GZ10" s="2">
        <v>1681647.0855040522</v>
      </c>
      <c r="HA10" s="48"/>
      <c r="HB10" s="48">
        <f t="shared" ref="HB10:HB16" si="42">SUM(GR10:GZ10)</f>
        <v>-20880533.111177947</v>
      </c>
      <c r="HE10" s="47" t="s">
        <v>22</v>
      </c>
      <c r="HF10" s="2">
        <v>-5910838.2541570002</v>
      </c>
      <c r="HG10" s="48"/>
      <c r="HH10" s="2">
        <v>-8335943.5014999993</v>
      </c>
      <c r="HI10" s="48"/>
      <c r="HJ10" s="2">
        <v>0</v>
      </c>
      <c r="HK10" s="48"/>
      <c r="HL10" s="53">
        <v>-573904.92000000004</v>
      </c>
      <c r="HM10" s="48"/>
      <c r="HN10" s="2">
        <v>1136115.6486479789</v>
      </c>
      <c r="HO10" s="48"/>
      <c r="HP10" s="48">
        <f t="shared" si="12"/>
        <v>-13684571.02700902</v>
      </c>
      <c r="HS10" s="47" t="s">
        <v>22</v>
      </c>
      <c r="HT10" s="2">
        <v>-2966651.17</v>
      </c>
      <c r="HU10" s="48"/>
      <c r="HV10" s="2">
        <v>-3881233.4900000007</v>
      </c>
      <c r="HW10" s="48"/>
      <c r="HX10" s="2">
        <v>0</v>
      </c>
      <c r="HY10" s="48"/>
      <c r="HZ10" s="2">
        <v>-273075.83</v>
      </c>
      <c r="IA10" s="48"/>
      <c r="IB10" s="2">
        <v>513885.41311476834</v>
      </c>
      <c r="IC10" s="48"/>
      <c r="ID10" s="48">
        <f t="shared" si="13"/>
        <v>-6607075.0768852318</v>
      </c>
      <c r="IG10" s="47" t="s">
        <v>22</v>
      </c>
      <c r="IH10" s="2">
        <v>-8892821.7400000002</v>
      </c>
      <c r="II10" s="48"/>
      <c r="IJ10" s="2">
        <v>-15121617.68</v>
      </c>
      <c r="IK10" s="48"/>
      <c r="IL10" s="2">
        <v>0</v>
      </c>
      <c r="IM10" s="48"/>
      <c r="IN10" s="2">
        <v>-1300435.1800000002</v>
      </c>
      <c r="IO10" s="48"/>
      <c r="IP10" s="2">
        <v>2127389.6500000004</v>
      </c>
      <c r="IQ10" s="48"/>
      <c r="IR10" s="48">
        <f t="shared" si="14"/>
        <v>-23187484.950000003</v>
      </c>
      <c r="IU10" s="47" t="s">
        <v>22</v>
      </c>
      <c r="IV10" s="2">
        <v>-6510053.6600000001</v>
      </c>
      <c r="IW10" s="48"/>
      <c r="IX10" s="2">
        <v>-11303427.240000002</v>
      </c>
      <c r="IY10" s="48"/>
      <c r="IZ10" s="2">
        <v>0</v>
      </c>
      <c r="JA10" s="48"/>
      <c r="JB10" s="2">
        <v>-1006781.01</v>
      </c>
      <c r="JC10" s="48"/>
      <c r="JD10" s="2">
        <v>1623278.8324390757</v>
      </c>
      <c r="JE10" s="48"/>
      <c r="JF10" s="48">
        <f t="shared" ref="JF10:JF16" si="43">SUM(IV10:JD10)</f>
        <v>-17196983.077560928</v>
      </c>
      <c r="JI10" s="47" t="s">
        <v>22</v>
      </c>
      <c r="JJ10" s="2">
        <v>-4644621.4000000004</v>
      </c>
      <c r="JK10" s="48"/>
      <c r="JL10" s="2">
        <v>-7416304.3900000015</v>
      </c>
      <c r="JM10" s="48"/>
      <c r="JN10" s="2">
        <v>0</v>
      </c>
      <c r="JO10" s="48"/>
      <c r="JP10" s="2">
        <v>-682663</v>
      </c>
      <c r="JQ10" s="48"/>
      <c r="JR10" s="2">
        <v>1120458.9341450797</v>
      </c>
      <c r="JS10" s="48"/>
      <c r="JT10" s="48">
        <f t="shared" si="15"/>
        <v>-11623129.855854923</v>
      </c>
      <c r="JW10" s="47" t="s">
        <v>22</v>
      </c>
      <c r="JX10" s="2">
        <v>-2655160.4300000002</v>
      </c>
      <c r="JY10" s="48"/>
      <c r="JZ10" s="2">
        <v>-3868039.93</v>
      </c>
      <c r="KA10" s="48"/>
      <c r="KB10" s="2">
        <v>0</v>
      </c>
      <c r="KC10" s="48"/>
      <c r="KD10" s="2">
        <v>-344887.85</v>
      </c>
      <c r="KE10" s="48"/>
      <c r="KF10" s="2">
        <v>666866.91858654784</v>
      </c>
      <c r="KG10" s="48"/>
      <c r="KH10" s="48">
        <f t="shared" si="16"/>
        <v>-6201221.2914134525</v>
      </c>
      <c r="KK10" s="47" t="s">
        <v>22</v>
      </c>
      <c r="KL10" s="2">
        <v>-8528600.7100000009</v>
      </c>
      <c r="KM10" s="48"/>
      <c r="KN10" s="2">
        <v>-12984040.259999998</v>
      </c>
      <c r="KO10" s="48"/>
      <c r="KP10" s="2">
        <v>0</v>
      </c>
      <c r="KQ10" s="48"/>
      <c r="KR10" s="2">
        <v>-1429008.29</v>
      </c>
      <c r="KS10" s="48"/>
      <c r="KT10" s="2">
        <v>2591093.8861544053</v>
      </c>
      <c r="KU10" s="48"/>
      <c r="KV10" s="48">
        <f t="shared" si="17"/>
        <v>-20350555.373845592</v>
      </c>
      <c r="KW10" s="49"/>
      <c r="KX10" s="49"/>
      <c r="KY10" s="47" t="s">
        <v>22</v>
      </c>
      <c r="KZ10" s="2">
        <v>-6568340.6699999999</v>
      </c>
      <c r="LA10" s="48"/>
      <c r="LB10" s="2">
        <v>-9581208.2399999984</v>
      </c>
      <c r="LC10" s="48"/>
      <c r="LD10" s="2">
        <v>0</v>
      </c>
      <c r="LE10" s="48"/>
      <c r="LF10" s="2">
        <v>-1108662.92</v>
      </c>
      <c r="LG10" s="48"/>
      <c r="LH10" s="2">
        <v>2201975.4076768849</v>
      </c>
      <c r="LI10" s="48"/>
      <c r="LJ10" s="48">
        <f t="shared" ref="LJ10:LJ16" si="44">SUM(KZ10:LH10)</f>
        <v>-15056236.422323113</v>
      </c>
      <c r="LK10" s="49"/>
      <c r="LL10" s="49"/>
      <c r="LM10" s="47" t="s">
        <v>22</v>
      </c>
      <c r="LN10" s="2">
        <v>-4543919.63</v>
      </c>
      <c r="LO10" s="48"/>
      <c r="LP10" s="2">
        <v>-6396111.1399999987</v>
      </c>
      <c r="LQ10" s="48"/>
      <c r="LR10" s="2">
        <v>0</v>
      </c>
      <c r="LS10" s="48"/>
      <c r="LT10" s="2">
        <v>-724784.75</v>
      </c>
      <c r="LU10" s="48"/>
      <c r="LV10" s="2">
        <v>1467733.3199149347</v>
      </c>
      <c r="LW10" s="48"/>
      <c r="LX10" s="48">
        <f t="shared" ref="LX10:LX16" si="45">SUM(LN10:LV10)</f>
        <v>-10197082.200085064</v>
      </c>
      <c r="LY10" s="49"/>
      <c r="LZ10" s="47" t="s">
        <v>22</v>
      </c>
      <c r="MA10" s="2">
        <v>-2484122.5399999996</v>
      </c>
      <c r="MB10" s="48"/>
      <c r="MC10" s="2">
        <v>-3057011.3</v>
      </c>
      <c r="MD10" s="48"/>
      <c r="ME10" s="2">
        <v>0</v>
      </c>
      <c r="MG10" s="2">
        <v>-366625.70999999996</v>
      </c>
      <c r="MI10" s="2">
        <v>737651.36425998749</v>
      </c>
      <c r="MK10" s="2">
        <f t="shared" si="18"/>
        <v>-5170108.1857400127</v>
      </c>
      <c r="MM10" s="47" t="s">
        <v>22</v>
      </c>
      <c r="MN10" s="2">
        <v>-9733131.7100000009</v>
      </c>
      <c r="MO10" s="48"/>
      <c r="MP10" s="2">
        <v>-10373328.85</v>
      </c>
      <c r="MQ10" s="48"/>
      <c r="MR10" s="2">
        <v>0</v>
      </c>
      <c r="MS10" s="48"/>
      <c r="MT10" s="2">
        <v>-1638180.36</v>
      </c>
      <c r="MU10" s="48"/>
      <c r="MV10" s="2">
        <v>3198178.5900000003</v>
      </c>
      <c r="MW10" s="48"/>
      <c r="MX10" s="48">
        <f t="shared" si="19"/>
        <v>-18546462.330000002</v>
      </c>
      <c r="MY10" s="49"/>
      <c r="MZ10" s="49"/>
      <c r="NA10" s="47" t="s">
        <v>22</v>
      </c>
      <c r="NB10" s="2">
        <v>-7913049.8599999994</v>
      </c>
      <c r="NC10" s="48"/>
      <c r="ND10" s="2">
        <v>-7787987.5200000014</v>
      </c>
      <c r="NE10" s="48"/>
      <c r="NF10" s="2">
        <v>0</v>
      </c>
      <c r="NG10" s="48"/>
      <c r="NH10" s="2">
        <v>-1306841.46</v>
      </c>
      <c r="NI10" s="48"/>
      <c r="NJ10" s="2">
        <v>2441231.7249999987</v>
      </c>
      <c r="NK10" s="48"/>
      <c r="NL10" s="48">
        <f t="shared" ref="NL10:NL16" si="46">SUM(NB10:NJ10)</f>
        <v>-14566647.115000002</v>
      </c>
      <c r="NM10" s="49"/>
      <c r="NN10" s="49"/>
      <c r="NO10" s="47" t="s">
        <v>22</v>
      </c>
      <c r="NP10" s="2">
        <v>-6053898.1599999992</v>
      </c>
      <c r="NQ10" s="48"/>
      <c r="NR10" s="2">
        <v>-5094110.9899999993</v>
      </c>
      <c r="NS10" s="48"/>
      <c r="NT10" s="2">
        <v>0</v>
      </c>
      <c r="NU10" s="48"/>
      <c r="NV10" s="2">
        <v>-874897.05</v>
      </c>
      <c r="NW10" s="48"/>
      <c r="NX10" s="2">
        <v>1531972.7700000003</v>
      </c>
      <c r="NY10" s="48"/>
      <c r="NZ10" s="48">
        <f t="shared" ref="NZ10:NZ16" si="47">SUM(NP10:NX10)</f>
        <v>-10490933.43</v>
      </c>
      <c r="OA10" s="49"/>
      <c r="OB10" s="47" t="s">
        <v>22</v>
      </c>
      <c r="OC10" s="2">
        <v>-2913885.34</v>
      </c>
      <c r="OD10" s="48"/>
      <c r="OE10" s="2">
        <v>-2699915.3</v>
      </c>
      <c r="OF10" s="48"/>
      <c r="OG10" s="55">
        <v>0</v>
      </c>
      <c r="OI10" s="2">
        <v>-439063.19</v>
      </c>
      <c r="OK10" s="2">
        <v>854266.93499999959</v>
      </c>
      <c r="OM10" s="2">
        <f t="shared" si="20"/>
        <v>-5198596.8950000005</v>
      </c>
      <c r="OO10" s="18" t="s">
        <v>22</v>
      </c>
      <c r="OP10" s="2">
        <v>-15600723.489999998</v>
      </c>
      <c r="OQ10" s="2">
        <v>0</v>
      </c>
      <c r="OR10" s="2">
        <v>-18463054.75</v>
      </c>
      <c r="OT10" s="2">
        <v>0</v>
      </c>
      <c r="OV10" s="2">
        <v>-2978009.99</v>
      </c>
      <c r="OX10" s="2">
        <v>7085119.5721666701</v>
      </c>
      <c r="OZ10" s="2">
        <f t="shared" si="21"/>
        <v>-29956668.657833327</v>
      </c>
      <c r="PA10" s="25"/>
      <c r="PB10" s="18" t="s">
        <v>22</v>
      </c>
      <c r="PC10" s="2">
        <v>-13650474.48</v>
      </c>
      <c r="PD10" s="2"/>
      <c r="PE10" s="2">
        <v>-16514042.869999997</v>
      </c>
      <c r="PG10" s="39">
        <v>0</v>
      </c>
      <c r="PI10" s="2">
        <v>-2515737.0099999998</v>
      </c>
      <c r="PK10" s="2">
        <v>7456630.9147083331</v>
      </c>
      <c r="PM10" s="2">
        <f t="shared" si="22"/>
        <v>-25223623.445291668</v>
      </c>
      <c r="PN10" s="25"/>
      <c r="PO10" s="18" t="s">
        <v>22</v>
      </c>
      <c r="PP10" s="2">
        <v>-11894936.859999999</v>
      </c>
      <c r="PQ10" s="2"/>
      <c r="PR10" s="2">
        <v>-13178482.109999999</v>
      </c>
      <c r="PT10" s="39"/>
      <c r="PV10" s="2">
        <v>-2103352.4900000002</v>
      </c>
      <c r="PX10" s="2">
        <v>6210525.8528333325</v>
      </c>
      <c r="PZ10" s="2">
        <f t="shared" si="23"/>
        <v>-20966245.60716667</v>
      </c>
      <c r="QA10" s="25"/>
      <c r="QB10" s="18" t="s">
        <v>22</v>
      </c>
      <c r="QC10" s="2">
        <v>-9754184.0899999999</v>
      </c>
      <c r="QD10" s="2"/>
      <c r="QE10" s="2">
        <v>-10575900.15</v>
      </c>
      <c r="QG10" s="39"/>
      <c r="QI10" s="2">
        <v>-1635406.3099999998</v>
      </c>
      <c r="QK10" s="2">
        <v>5158519.5102083348</v>
      </c>
      <c r="QM10" s="2">
        <f t="shared" si="24"/>
        <v>-16806971.039791666</v>
      </c>
      <c r="QN10" s="25"/>
      <c r="QO10" s="18" t="s">
        <v>22</v>
      </c>
      <c r="QP10" s="2">
        <v>-4646821.8499999996</v>
      </c>
      <c r="QQ10" s="2"/>
      <c r="QR10" s="2">
        <v>-8008383.9000000004</v>
      </c>
      <c r="QT10" s="2">
        <v>-2778322.9099999997</v>
      </c>
      <c r="QV10" s="2">
        <v>-1213698.3399999999</v>
      </c>
      <c r="QX10" s="2">
        <v>4124327.3760833335</v>
      </c>
      <c r="QZ10" s="2">
        <f t="shared" si="25"/>
        <v>-12522899.623916667</v>
      </c>
      <c r="RA10" s="25"/>
      <c r="RB10" s="18" t="s">
        <v>22</v>
      </c>
      <c r="RC10" s="2">
        <v>-3630594.97</v>
      </c>
      <c r="RD10" s="2"/>
      <c r="RE10" s="2">
        <v>-5678769.1899999995</v>
      </c>
      <c r="RG10" s="2">
        <v>-1782485.68</v>
      </c>
      <c r="RI10" s="2">
        <v>-815423.57</v>
      </c>
      <c r="RK10" s="2">
        <v>3110406.14</v>
      </c>
      <c r="RM10" s="2">
        <f t="shared" si="26"/>
        <v>-8796867.2699999996</v>
      </c>
      <c r="RN10" s="25"/>
      <c r="RO10" s="18" t="s">
        <v>22</v>
      </c>
      <c r="RP10" s="2">
        <v>-1753390.68</v>
      </c>
      <c r="RQ10" s="2"/>
      <c r="RR10" s="2">
        <v>-2101939.9000000004</v>
      </c>
      <c r="RT10" s="2">
        <v>-875719.46</v>
      </c>
      <c r="RV10" s="2">
        <v>-404408.77</v>
      </c>
      <c r="RX10" s="2">
        <v>781529.73999999941</v>
      </c>
      <c r="RZ10" s="2">
        <f t="shared" si="27"/>
        <v>-4353929.0700000012</v>
      </c>
      <c r="SA10" s="25"/>
      <c r="SB10" s="18" t="s">
        <v>22</v>
      </c>
      <c r="SC10" s="2">
        <v>-4007171.21</v>
      </c>
      <c r="SD10" s="2"/>
      <c r="SE10" s="2">
        <v>-11300033.999999998</v>
      </c>
      <c r="SG10" s="2">
        <v>-3555466.25</v>
      </c>
      <c r="SI10" s="2">
        <v>-1839323.7700000003</v>
      </c>
      <c r="SK10" s="2">
        <v>6884069.8499999996</v>
      </c>
      <c r="SM10" s="2">
        <f t="shared" si="28"/>
        <v>-13817925.379999997</v>
      </c>
      <c r="SN10" s="25"/>
      <c r="SO10" s="18" t="s">
        <v>22</v>
      </c>
      <c r="SP10" s="2">
        <v>-2929836.1799999997</v>
      </c>
      <c r="SQ10" s="2">
        <v>0</v>
      </c>
      <c r="SR10" s="2">
        <v>-6485705.4399999995</v>
      </c>
      <c r="SS10" s="2">
        <v>0</v>
      </c>
      <c r="ST10" s="2">
        <v>-2560934.6</v>
      </c>
      <c r="SU10" s="2">
        <v>0</v>
      </c>
      <c r="SV10" s="2">
        <v>-1269923.7500000002</v>
      </c>
      <c r="SW10" s="2">
        <v>0</v>
      </c>
      <c r="SX10" s="2">
        <v>3277979.100000001</v>
      </c>
      <c r="SZ10" s="2">
        <f t="shared" si="29"/>
        <v>-9968420.8699999973</v>
      </c>
      <c r="TA10" s="25"/>
      <c r="TB10" s="18" t="s">
        <v>22</v>
      </c>
      <c r="TC10" s="2">
        <v>-1917343.22</v>
      </c>
      <c r="TD10" s="2"/>
      <c r="TE10" s="2">
        <v>-4474513.6400000006</v>
      </c>
      <c r="TG10" s="2">
        <v>-1672607.75</v>
      </c>
      <c r="TI10" s="2">
        <v>-876605.00000000012</v>
      </c>
      <c r="TK10" s="2">
        <v>2407227.4300000034</v>
      </c>
      <c r="TM10" s="2">
        <f t="shared" si="30"/>
        <v>-6533842.1799999978</v>
      </c>
      <c r="TN10" s="25"/>
      <c r="TO10" s="18" t="s">
        <v>22</v>
      </c>
      <c r="TP10" s="2">
        <v>-840909.6</v>
      </c>
      <c r="TQ10" s="2"/>
      <c r="TR10" s="2">
        <v>-1929394.9400000002</v>
      </c>
      <c r="TT10" s="2">
        <v>-873556.62000000011</v>
      </c>
      <c r="TV10" s="2">
        <v>-432129.94</v>
      </c>
      <c r="TX10" s="2">
        <v>869263.85</v>
      </c>
      <c r="TZ10" s="2">
        <f t="shared" si="31"/>
        <v>-3206727.25</v>
      </c>
      <c r="UA10" s="25"/>
      <c r="UB10" s="18" t="s">
        <v>22</v>
      </c>
      <c r="UC10" s="2">
        <v>-6384187.379999999</v>
      </c>
      <c r="UD10" s="2"/>
      <c r="UE10" s="2">
        <v>-10319359.780000001</v>
      </c>
      <c r="UG10" s="2">
        <v>-3705490.8999999994</v>
      </c>
      <c r="UI10" s="2">
        <v>-2866111.19</v>
      </c>
      <c r="UK10" s="2">
        <v>6272507.9500000048</v>
      </c>
      <c r="UM10" s="2">
        <f t="shared" si="32"/>
        <v>-17002641.299999997</v>
      </c>
      <c r="UN10" s="25"/>
      <c r="UO10" s="18" t="s">
        <v>22</v>
      </c>
      <c r="UP10" s="2">
        <v>-4502446.1100000003</v>
      </c>
      <c r="UQ10" s="2"/>
      <c r="UR10" s="2">
        <v>-7163589</v>
      </c>
      <c r="UT10" s="2">
        <v>-2718286.3800000004</v>
      </c>
      <c r="UV10" s="2">
        <v>-2166710.7800000003</v>
      </c>
      <c r="UX10" s="2">
        <v>4101782.7300000037</v>
      </c>
      <c r="UZ10" s="2">
        <f t="shared" si="33"/>
        <v>-12449249.539999995</v>
      </c>
      <c r="VA10" s="25"/>
      <c r="VB10" s="25" t="s">
        <v>22</v>
      </c>
      <c r="VC10" s="2">
        <v>-2938249.85</v>
      </c>
      <c r="VD10" s="2"/>
      <c r="VE10" s="2">
        <v>-4837965.43</v>
      </c>
      <c r="VG10" s="2">
        <v>-1839679.08</v>
      </c>
      <c r="VI10" s="2">
        <v>-1454699.87</v>
      </c>
      <c r="VK10" s="2">
        <v>2398670.88</v>
      </c>
      <c r="VM10" s="2">
        <v>-8671923.3499999996</v>
      </c>
      <c r="VN10" s="25"/>
      <c r="VO10" s="25" t="s">
        <v>22</v>
      </c>
      <c r="VP10" s="2">
        <f>-1359.633*1000</f>
        <v>-1359633</v>
      </c>
      <c r="VQ10" s="2"/>
      <c r="VR10" s="2">
        <f>-2431.64182*1000</f>
        <v>-2431641.8199999998</v>
      </c>
      <c r="VT10" s="2">
        <f>-914.48935*1000</f>
        <v>-914489.35</v>
      </c>
      <c r="VV10" s="2">
        <f>-729.83958*1000</f>
        <v>-729839.58</v>
      </c>
      <c r="VX10" s="2">
        <f>1162.87982*1000</f>
        <v>1162879.82</v>
      </c>
      <c r="VZ10" s="2">
        <f>-4272.72393*1000</f>
        <v>-4272723.93</v>
      </c>
      <c r="WA10" s="25"/>
      <c r="WB10" s="19" t="s">
        <v>22</v>
      </c>
      <c r="WC10" s="2">
        <v>-6066826.2999999998</v>
      </c>
      <c r="WD10" s="2"/>
      <c r="WE10" s="2">
        <v>-9051361</v>
      </c>
      <c r="WG10" s="2">
        <v>-4179912.33</v>
      </c>
      <c r="WI10" s="2">
        <v>-3085260.62</v>
      </c>
      <c r="WK10" s="2">
        <v>5207593.05</v>
      </c>
      <c r="WM10" s="2">
        <f t="shared" si="34"/>
        <v>-17175767.200000003</v>
      </c>
      <c r="WN10" s="25"/>
      <c r="WO10" s="19" t="s">
        <v>22</v>
      </c>
      <c r="WP10" s="2">
        <f>-2575.701*1000-2138895.31-95635.35</f>
        <v>-4810231.66</v>
      </c>
      <c r="WQ10" s="2"/>
      <c r="WR10" s="2">
        <v>-6725990.1542494791</v>
      </c>
      <c r="WT10" s="2">
        <f>(-(38.433+270.179+8.025)-123.84-126.85)*1000+(-1618.322-979.669)*1000</f>
        <v>-3165318</v>
      </c>
      <c r="WV10" s="2">
        <f>-2120.68093*1000</f>
        <v>-2120680.9300000002</v>
      </c>
      <c r="WX10" s="2">
        <f>1484.08915*1000+2495000</f>
        <v>3979089.15</v>
      </c>
      <c r="WZ10" s="2">
        <f t="shared" si="35"/>
        <v>-12843131.594249478</v>
      </c>
      <c r="XA10" s="25"/>
      <c r="XB10" s="25" t="s">
        <v>22</v>
      </c>
      <c r="XC10" s="2">
        <v>-3749962.6770662102</v>
      </c>
      <c r="XD10" s="2"/>
      <c r="XE10" s="2">
        <v>-4514209.72</v>
      </c>
      <c r="XF10" s="2">
        <v>0</v>
      </c>
      <c r="XG10" s="2">
        <v>-2010841.26</v>
      </c>
      <c r="XH10" s="2">
        <v>0</v>
      </c>
      <c r="XI10" s="2">
        <v>-1352701.32</v>
      </c>
      <c r="XJ10" s="2">
        <v>0</v>
      </c>
      <c r="XK10" s="2">
        <v>2540548.9900000002</v>
      </c>
      <c r="XM10" s="2">
        <v>9087165.9870662037</v>
      </c>
      <c r="XN10" s="2"/>
      <c r="XO10" s="25" t="s">
        <v>22</v>
      </c>
      <c r="XP10" s="2">
        <f>-1388.99783*1000</f>
        <v>-1388997.83</v>
      </c>
      <c r="XQ10" s="2"/>
      <c r="XR10" s="2">
        <f>-2101.51851*1000</f>
        <v>-2101518.5099999998</v>
      </c>
      <c r="XT10" s="2">
        <f>-977.27302*1000</f>
        <v>-977273.02</v>
      </c>
      <c r="XV10" s="2">
        <f>-649.598373533103*1000</f>
        <v>-649598.37353310292</v>
      </c>
      <c r="XX10" s="2">
        <f>1162.87982*1000</f>
        <v>1162879.82</v>
      </c>
      <c r="XZ10" s="2">
        <f>-3954.5079135331*1000</f>
        <v>-3954507.9135330999</v>
      </c>
      <c r="YA10" s="2"/>
      <c r="YB10" s="25" t="s">
        <v>22</v>
      </c>
      <c r="YC10" s="2">
        <v>-8944446.4100000001</v>
      </c>
      <c r="YD10" s="2"/>
      <c r="YE10" s="2">
        <v>-8660472.2899999991</v>
      </c>
      <c r="YG10" s="2">
        <v>-5309885.12</v>
      </c>
      <c r="YI10" s="2">
        <v>-1858121.8319861901</v>
      </c>
      <c r="YK10" s="2">
        <v>4861624.8100000005</v>
      </c>
      <c r="YM10" s="2">
        <f t="shared" si="36"/>
        <v>-19911300.841986187</v>
      </c>
      <c r="YN10" s="2"/>
      <c r="YO10" s="19" t="s">
        <v>22</v>
      </c>
      <c r="YP10" s="2">
        <f>-2850.347*1000-2070503.66</f>
        <v>-4920850.66</v>
      </c>
      <c r="YQ10" s="2"/>
      <c r="YR10" s="2">
        <v>-6443078.0599999996</v>
      </c>
      <c r="YT10" s="2">
        <f>-1094.603*1000-2881713</f>
        <v>-3976316</v>
      </c>
      <c r="YV10" s="2">
        <f>-1471.17646*1000</f>
        <v>-1471176.46</v>
      </c>
      <c r="YX10" s="2">
        <f>1724.02626*1000+2250000</f>
        <v>3974026.26</v>
      </c>
      <c r="YZ10" s="2">
        <f t="shared" si="37"/>
        <v>-12837394.92</v>
      </c>
    </row>
    <row r="11" spans="1:676">
      <c r="A11" s="47" t="s">
        <v>19</v>
      </c>
      <c r="B11" s="2">
        <v>-368515857.02999997</v>
      </c>
      <c r="C11" s="71"/>
      <c r="D11" s="2">
        <v>-10926385.050000001</v>
      </c>
      <c r="E11" s="71"/>
      <c r="F11" s="2">
        <v>0</v>
      </c>
      <c r="G11" s="71"/>
      <c r="H11" s="2">
        <v>0</v>
      </c>
      <c r="I11" s="71"/>
      <c r="J11" s="2">
        <v>0</v>
      </c>
      <c r="K11" s="71"/>
      <c r="L11" s="2">
        <v>633497.81000000006</v>
      </c>
      <c r="M11" s="71"/>
      <c r="N11" s="71">
        <f t="shared" si="38"/>
        <v>-378808744.26999998</v>
      </c>
      <c r="Q11" s="47" t="s">
        <v>19</v>
      </c>
      <c r="R11" s="2">
        <v>-264595946.83023468</v>
      </c>
      <c r="S11" s="71"/>
      <c r="T11" s="2">
        <v>-8157233.2400000002</v>
      </c>
      <c r="U11" s="71"/>
      <c r="V11" s="2">
        <v>0</v>
      </c>
      <c r="W11" s="2"/>
      <c r="X11" s="2">
        <v>0</v>
      </c>
      <c r="Y11" s="71"/>
      <c r="Z11" s="2">
        <v>0</v>
      </c>
      <c r="AA11" s="71"/>
      <c r="AB11" s="2">
        <v>0</v>
      </c>
      <c r="AC11" s="71"/>
      <c r="AD11" s="71">
        <f t="shared" si="39"/>
        <v>-272753180.07023466</v>
      </c>
      <c r="AG11" s="47" t="s">
        <v>19</v>
      </c>
      <c r="AH11" s="2">
        <v>-187370486.01722917</v>
      </c>
      <c r="AI11" s="71"/>
      <c r="AJ11" s="2">
        <v>-4610168.3600000003</v>
      </c>
      <c r="AK11" s="71"/>
      <c r="AL11" s="2">
        <v>0</v>
      </c>
      <c r="AM11" s="2"/>
      <c r="AN11" s="2">
        <v>0</v>
      </c>
      <c r="AO11" s="71"/>
      <c r="AP11" s="2">
        <v>0</v>
      </c>
      <c r="AQ11" s="71"/>
      <c r="AR11" s="2">
        <v>0</v>
      </c>
      <c r="AS11" s="71"/>
      <c r="AT11" s="71">
        <f t="shared" si="40"/>
        <v>-191980654.37722918</v>
      </c>
      <c r="AW11" s="47" t="s">
        <v>19</v>
      </c>
      <c r="AX11" s="2">
        <v>-124361492.149832</v>
      </c>
      <c r="AY11" s="70"/>
      <c r="AZ11" s="2">
        <v>-2728198.94</v>
      </c>
      <c r="BA11" s="61"/>
      <c r="BB11" s="2">
        <v>0</v>
      </c>
      <c r="BC11" s="2"/>
      <c r="BD11" s="2">
        <v>0</v>
      </c>
      <c r="BE11" s="61"/>
      <c r="BF11" s="2">
        <v>0</v>
      </c>
      <c r="BG11" s="61"/>
      <c r="BH11" s="2">
        <v>0</v>
      </c>
      <c r="BI11" s="71"/>
      <c r="BJ11" s="71">
        <f>SUM(AX11:BH11)</f>
        <v>-127089691.08983199</v>
      </c>
      <c r="BM11" s="47" t="s">
        <v>19</v>
      </c>
      <c r="BN11" s="2">
        <v>-376230599.84906</v>
      </c>
      <c r="BO11" s="71"/>
      <c r="BP11" s="2">
        <v>-9180256.2200000007</v>
      </c>
      <c r="BQ11" s="71"/>
      <c r="BR11" s="2">
        <v>0</v>
      </c>
      <c r="BS11" s="71"/>
      <c r="BT11" s="2">
        <v>0</v>
      </c>
      <c r="BU11" s="71"/>
      <c r="BV11" s="2">
        <v>0</v>
      </c>
      <c r="BW11" s="71"/>
      <c r="BX11" s="2">
        <v>37304.300000000003</v>
      </c>
      <c r="BY11" s="71"/>
      <c r="BZ11" s="71">
        <f t="shared" si="4"/>
        <v>-385373551.76906002</v>
      </c>
      <c r="CC11" s="47" t="s">
        <v>19</v>
      </c>
      <c r="CD11" s="2">
        <v>-298951135.13609439</v>
      </c>
      <c r="CE11" s="71"/>
      <c r="CF11" s="2">
        <v>-6107570.1399999997</v>
      </c>
      <c r="CG11" s="71"/>
      <c r="CH11" s="2">
        <v>0</v>
      </c>
      <c r="CI11" s="2"/>
      <c r="CJ11" s="2">
        <v>0</v>
      </c>
      <c r="CK11" s="71"/>
      <c r="CL11" s="2">
        <v>0</v>
      </c>
      <c r="CM11" s="71"/>
      <c r="CN11" s="2">
        <v>37304.300000000003</v>
      </c>
      <c r="CO11" s="71"/>
      <c r="CP11" s="71">
        <f t="shared" si="5"/>
        <v>-305021400.97609437</v>
      </c>
      <c r="CS11" s="47" t="s">
        <v>19</v>
      </c>
      <c r="CT11" s="2">
        <v>-231522453.0189667</v>
      </c>
      <c r="CU11" s="71"/>
      <c r="CV11" s="2">
        <v>-4651827.08</v>
      </c>
      <c r="CW11" s="71"/>
      <c r="CX11" s="2">
        <v>0</v>
      </c>
      <c r="CY11" s="2"/>
      <c r="CZ11" s="2">
        <v>0</v>
      </c>
      <c r="DA11" s="71"/>
      <c r="DB11" s="2">
        <v>0</v>
      </c>
      <c r="DC11" s="71"/>
      <c r="DD11" s="2">
        <v>2500.0189666938782</v>
      </c>
      <c r="DE11" s="71"/>
      <c r="DF11" s="71">
        <f t="shared" si="6"/>
        <v>-236171780.08000001</v>
      </c>
      <c r="DI11" s="47" t="s">
        <v>19</v>
      </c>
      <c r="DJ11" s="2">
        <v>-194154141.48897833</v>
      </c>
      <c r="DK11" s="71"/>
      <c r="DL11" s="2">
        <v>-1401200.98</v>
      </c>
      <c r="DM11" s="71"/>
      <c r="DN11" s="2">
        <v>0</v>
      </c>
      <c r="DO11" s="2"/>
      <c r="DP11" s="2">
        <v>0</v>
      </c>
      <c r="DQ11" s="71"/>
      <c r="DR11" s="2">
        <v>0</v>
      </c>
      <c r="DS11" s="71"/>
      <c r="DT11" s="2">
        <v>2500.02</v>
      </c>
      <c r="DU11" s="71"/>
      <c r="DV11" s="71">
        <f t="shared" si="7"/>
        <v>-195552842.4489783</v>
      </c>
      <c r="DY11" s="47" t="s">
        <v>19</v>
      </c>
      <c r="DZ11" s="61">
        <v>-269275663.91000003</v>
      </c>
      <c r="EA11" s="71"/>
      <c r="EB11" s="61">
        <v>-8102352.8099999996</v>
      </c>
      <c r="EC11" s="71"/>
      <c r="ED11" s="61">
        <v>0</v>
      </c>
      <c r="EE11" s="71"/>
      <c r="EF11" s="61">
        <v>0</v>
      </c>
      <c r="EG11" s="71"/>
      <c r="EH11" s="61">
        <v>0</v>
      </c>
      <c r="EI11" s="71"/>
      <c r="EJ11" s="71">
        <f t="shared" si="8"/>
        <v>-277378016.72000003</v>
      </c>
      <c r="EM11" s="47" t="s">
        <v>19</v>
      </c>
      <c r="EN11" s="2">
        <v>-189977329.80711955</v>
      </c>
      <c r="EO11" s="48"/>
      <c r="EP11" s="2">
        <v>-5908947.7800000003</v>
      </c>
      <c r="EQ11" s="48"/>
      <c r="ER11" s="2">
        <v>0</v>
      </c>
      <c r="ES11" s="48"/>
      <c r="ET11" s="2">
        <v>0</v>
      </c>
      <c r="EU11" s="48"/>
      <c r="EV11" s="2">
        <v>0</v>
      </c>
      <c r="EW11" s="48"/>
      <c r="EX11" s="48">
        <f t="shared" si="41"/>
        <v>-195886277.58711955</v>
      </c>
      <c r="FA11" s="47" t="s">
        <v>19</v>
      </c>
      <c r="FB11" s="2">
        <v>-131529836.67530401</v>
      </c>
      <c r="FC11" s="48"/>
      <c r="FD11" s="2">
        <v>-4785984.9000000004</v>
      </c>
      <c r="FE11" s="48"/>
      <c r="FF11" s="2">
        <v>0</v>
      </c>
      <c r="FG11" s="48"/>
      <c r="FH11" s="2">
        <v>0</v>
      </c>
      <c r="FI11" s="48"/>
      <c r="FJ11" s="2">
        <v>0</v>
      </c>
      <c r="FK11" s="48"/>
      <c r="FL11" s="48">
        <f t="shared" si="9"/>
        <v>-136315821.575304</v>
      </c>
      <c r="FO11" s="47" t="s">
        <v>19</v>
      </c>
      <c r="FP11" s="2">
        <v>-97619233.465360016</v>
      </c>
      <c r="FQ11" s="48"/>
      <c r="FR11" s="2">
        <v>-1730293.27</v>
      </c>
      <c r="FS11" s="48"/>
      <c r="FT11" s="2">
        <v>0</v>
      </c>
      <c r="FU11" s="48"/>
      <c r="FV11" s="2">
        <v>0</v>
      </c>
      <c r="FW11" s="48"/>
      <c r="FX11" s="2">
        <v>-22147.666639947522</v>
      </c>
      <c r="FY11" s="48"/>
      <c r="FZ11" s="48">
        <f t="shared" si="10"/>
        <v>-99371674.401999965</v>
      </c>
      <c r="GC11" s="47" t="s">
        <v>19</v>
      </c>
      <c r="GD11" s="2">
        <v>-87177671.530372679</v>
      </c>
      <c r="GE11" s="48"/>
      <c r="GF11" s="2">
        <v>-5605367.79</v>
      </c>
      <c r="GG11" s="48"/>
      <c r="GH11" s="2">
        <v>0</v>
      </c>
      <c r="GI11" s="48"/>
      <c r="GJ11" s="2">
        <v>0</v>
      </c>
      <c r="GK11" s="48"/>
      <c r="GL11" s="2">
        <v>2094927.29</v>
      </c>
      <c r="GM11" s="48"/>
      <c r="GN11" s="48">
        <f t="shared" si="11"/>
        <v>-90688112.030372679</v>
      </c>
      <c r="GQ11" s="47" t="s">
        <v>19</v>
      </c>
      <c r="GR11" s="2">
        <v>-54736479.888607666</v>
      </c>
      <c r="GS11" s="48"/>
      <c r="GT11" s="2">
        <v>-5054537.42</v>
      </c>
      <c r="GU11" s="48"/>
      <c r="GV11" s="2">
        <v>0</v>
      </c>
      <c r="GW11" s="48"/>
      <c r="GX11" s="2">
        <v>0</v>
      </c>
      <c r="GY11" s="48"/>
      <c r="GZ11" s="2">
        <v>2094927.29</v>
      </c>
      <c r="HA11" s="48"/>
      <c r="HB11" s="48">
        <f t="shared" si="42"/>
        <v>-57696090.018607669</v>
      </c>
      <c r="HE11" s="47" t="s">
        <v>19</v>
      </c>
      <c r="HF11" s="2">
        <v>-38508833.294009998</v>
      </c>
      <c r="HG11" s="48"/>
      <c r="HH11" s="2">
        <v>-3511143.27</v>
      </c>
      <c r="HI11" s="48"/>
      <c r="HJ11" s="2">
        <v>0</v>
      </c>
      <c r="HK11" s="48"/>
      <c r="HL11" s="53">
        <v>0</v>
      </c>
      <c r="HM11" s="48"/>
      <c r="HN11" s="2">
        <v>807762.29</v>
      </c>
      <c r="HO11" s="48"/>
      <c r="HP11" s="48">
        <f t="shared" si="12"/>
        <v>-41212214.274010003</v>
      </c>
      <c r="HS11" s="47" t="s">
        <v>19</v>
      </c>
      <c r="HT11" s="2">
        <v>-19430468.819999997</v>
      </c>
      <c r="HU11" s="48"/>
      <c r="HV11" s="2">
        <v>-1420292.91</v>
      </c>
      <c r="HW11" s="48"/>
      <c r="HX11" s="2">
        <v>0</v>
      </c>
      <c r="HY11" s="48"/>
      <c r="HZ11" s="2">
        <v>0</v>
      </c>
      <c r="IA11" s="48"/>
      <c r="IB11" s="2">
        <v>0</v>
      </c>
      <c r="IC11" s="48"/>
      <c r="ID11" s="48">
        <f t="shared" si="13"/>
        <v>-20850761.729999997</v>
      </c>
      <c r="IG11" s="47" t="s">
        <v>19</v>
      </c>
      <c r="IH11" s="2">
        <v>-69543826</v>
      </c>
      <c r="II11" s="48"/>
      <c r="IJ11" s="2">
        <v>-5709957.6299999999</v>
      </c>
      <c r="IK11" s="48"/>
      <c r="IL11" s="2">
        <v>0</v>
      </c>
      <c r="IM11" s="48"/>
      <c r="IN11" s="2">
        <v>0</v>
      </c>
      <c r="IO11" s="48"/>
      <c r="IP11" s="2">
        <v>79102.23</v>
      </c>
      <c r="IQ11" s="48"/>
      <c r="IR11" s="48">
        <f t="shared" si="14"/>
        <v>-75174681.399999991</v>
      </c>
      <c r="IU11" s="47" t="s">
        <v>19</v>
      </c>
      <c r="IV11" s="2">
        <v>-35268380.359999999</v>
      </c>
      <c r="IW11" s="48"/>
      <c r="IX11" s="2">
        <v>-3980140.05</v>
      </c>
      <c r="IY11" s="48"/>
      <c r="IZ11" s="2">
        <v>0</v>
      </c>
      <c r="JA11" s="48"/>
      <c r="JB11" s="2">
        <v>0</v>
      </c>
      <c r="JC11" s="48"/>
      <c r="JD11" s="2">
        <v>79102.230000029798</v>
      </c>
      <c r="JE11" s="48"/>
      <c r="JF11" s="48">
        <f t="shared" si="43"/>
        <v>-39169418.17999997</v>
      </c>
      <c r="JI11" s="47" t="s">
        <v>19</v>
      </c>
      <c r="JJ11" s="2">
        <v>-30650047.32</v>
      </c>
      <c r="JK11" s="48"/>
      <c r="JL11" s="2">
        <v>-2757039.25</v>
      </c>
      <c r="JM11" s="48"/>
      <c r="JN11" s="2">
        <v>0</v>
      </c>
      <c r="JO11" s="48"/>
      <c r="JP11" s="2">
        <v>0</v>
      </c>
      <c r="JQ11" s="48"/>
      <c r="JR11" s="2">
        <v>79102.23</v>
      </c>
      <c r="JS11" s="48"/>
      <c r="JT11" s="48">
        <f t="shared" si="15"/>
        <v>-33327984.34</v>
      </c>
      <c r="JW11" s="47" t="s">
        <v>19</v>
      </c>
      <c r="JX11" s="2">
        <v>-18411702</v>
      </c>
      <c r="JY11" s="48"/>
      <c r="JZ11" s="2">
        <v>-1014794.02</v>
      </c>
      <c r="KA11" s="48"/>
      <c r="KB11" s="2">
        <v>0</v>
      </c>
      <c r="KC11" s="48"/>
      <c r="KD11" s="2">
        <v>0</v>
      </c>
      <c r="KE11" s="48"/>
      <c r="KF11" s="2">
        <v>76381.56</v>
      </c>
      <c r="KG11" s="48"/>
      <c r="KH11" s="48">
        <f t="shared" si="16"/>
        <v>-19350114.460000001</v>
      </c>
      <c r="KK11" s="47" t="s">
        <v>19</v>
      </c>
      <c r="KL11" s="2">
        <v>-66934494.640000001</v>
      </c>
      <c r="KM11" s="48"/>
      <c r="KN11" s="2">
        <v>-7442739.1799999997</v>
      </c>
      <c r="KO11" s="48"/>
      <c r="KP11" s="2">
        <v>0</v>
      </c>
      <c r="KQ11" s="48"/>
      <c r="KR11" s="2">
        <v>0</v>
      </c>
      <c r="KS11" s="48"/>
      <c r="KT11" s="2">
        <v>0</v>
      </c>
      <c r="KU11" s="48"/>
      <c r="KV11" s="48">
        <f t="shared" si="17"/>
        <v>-74377233.819999993</v>
      </c>
      <c r="KW11" s="49"/>
      <c r="KX11" s="49"/>
      <c r="KY11" s="47" t="s">
        <v>19</v>
      </c>
      <c r="KZ11" s="2">
        <v>-53544318.159999996</v>
      </c>
      <c r="LA11" s="48"/>
      <c r="LB11" s="2">
        <v>-5811358.6200000001</v>
      </c>
      <c r="LC11" s="48"/>
      <c r="LD11" s="2">
        <v>0</v>
      </c>
      <c r="LE11" s="48"/>
      <c r="LF11" s="2">
        <v>0</v>
      </c>
      <c r="LG11" s="48"/>
      <c r="LH11" s="2">
        <v>0</v>
      </c>
      <c r="LI11" s="48"/>
      <c r="LJ11" s="48">
        <f t="shared" si="44"/>
        <v>-59355676.779999994</v>
      </c>
      <c r="LK11" s="49"/>
      <c r="LL11" s="49"/>
      <c r="LM11" s="47" t="s">
        <v>19</v>
      </c>
      <c r="LN11" s="2">
        <v>-42850139.829999998</v>
      </c>
      <c r="LO11" s="48"/>
      <c r="LP11" s="2">
        <v>-4855867.16</v>
      </c>
      <c r="LQ11" s="48"/>
      <c r="LR11" s="2">
        <v>0</v>
      </c>
      <c r="LS11" s="48"/>
      <c r="LT11" s="2">
        <v>0</v>
      </c>
      <c r="LU11" s="48"/>
      <c r="LV11" s="2">
        <v>0</v>
      </c>
      <c r="LW11" s="48"/>
      <c r="LX11" s="48">
        <f t="shared" si="45"/>
        <v>-47706006.989999995</v>
      </c>
      <c r="LY11" s="49"/>
      <c r="LZ11" s="47" t="s">
        <v>19</v>
      </c>
      <c r="MA11" s="2">
        <v>-21683386.550000001</v>
      </c>
      <c r="MB11" s="48"/>
      <c r="MC11" s="2">
        <v>-2361977.44</v>
      </c>
      <c r="MD11" s="48"/>
      <c r="ME11" s="2">
        <v>0</v>
      </c>
      <c r="MG11" s="2">
        <v>0</v>
      </c>
      <c r="MI11" s="2">
        <v>0</v>
      </c>
      <c r="MK11" s="2">
        <f t="shared" si="18"/>
        <v>-24045363.990000002</v>
      </c>
      <c r="MM11" s="47" t="s">
        <v>19</v>
      </c>
      <c r="MN11" s="2">
        <v>-79039543.659999996</v>
      </c>
      <c r="MO11" s="48"/>
      <c r="MP11" s="2">
        <v>-4281532.83</v>
      </c>
      <c r="MQ11" s="48"/>
      <c r="MR11" s="2">
        <v>0</v>
      </c>
      <c r="MS11" s="48"/>
      <c r="MT11" s="2">
        <v>0</v>
      </c>
      <c r="MU11" s="48"/>
      <c r="MV11" s="2">
        <v>-325242.98</v>
      </c>
      <c r="MW11" s="48"/>
      <c r="MX11" s="48">
        <f t="shared" si="19"/>
        <v>-83646319.469999999</v>
      </c>
      <c r="MY11" s="49"/>
      <c r="MZ11" s="49"/>
      <c r="NA11" s="47" t="s">
        <v>19</v>
      </c>
      <c r="NB11" s="2">
        <v>-57766477.600000001</v>
      </c>
      <c r="NC11" s="48"/>
      <c r="ND11" s="2">
        <v>-2921524.7800000003</v>
      </c>
      <c r="NE11" s="48"/>
      <c r="NF11" s="2">
        <v>0</v>
      </c>
      <c r="NG11" s="48"/>
      <c r="NH11" s="2">
        <v>0</v>
      </c>
      <c r="NI11" s="48"/>
      <c r="NJ11" s="2">
        <v>-293261.64999999851</v>
      </c>
      <c r="NK11" s="48"/>
      <c r="NL11" s="48">
        <f t="shared" si="46"/>
        <v>-60981264.030000001</v>
      </c>
      <c r="NM11" s="49"/>
      <c r="NN11" s="49"/>
      <c r="NO11" s="47" t="s">
        <v>19</v>
      </c>
      <c r="NP11" s="2">
        <v>-51853869.380000003</v>
      </c>
      <c r="NQ11" s="48"/>
      <c r="NR11" s="2">
        <v>-1412995.77</v>
      </c>
      <c r="NS11" s="48"/>
      <c r="NT11" s="2">
        <v>0</v>
      </c>
      <c r="NU11" s="48"/>
      <c r="NV11" s="2">
        <v>0</v>
      </c>
      <c r="NW11" s="48"/>
      <c r="NX11" s="2">
        <v>-106701.8</v>
      </c>
      <c r="NY11" s="48"/>
      <c r="NZ11" s="48">
        <f t="shared" si="47"/>
        <v>-53373566.950000003</v>
      </c>
      <c r="OA11" s="49"/>
      <c r="OB11" s="47" t="s">
        <v>19</v>
      </c>
      <c r="OC11" s="2">
        <v>-45161413.170000002</v>
      </c>
      <c r="OD11" s="48"/>
      <c r="OE11" s="2">
        <v>-1000707.51</v>
      </c>
      <c r="OF11" s="48"/>
      <c r="OG11" s="55">
        <v>0</v>
      </c>
      <c r="OI11" s="2">
        <v>0</v>
      </c>
      <c r="OK11" s="2">
        <v>-59262</v>
      </c>
      <c r="OM11" s="2">
        <f t="shared" si="20"/>
        <v>-46221382.68</v>
      </c>
      <c r="OO11" s="18" t="s">
        <v>19</v>
      </c>
      <c r="OP11" s="2">
        <v>-46432042.510000005</v>
      </c>
      <c r="OQ11" s="2">
        <v>0</v>
      </c>
      <c r="OR11" s="2">
        <v>-5174963.45</v>
      </c>
      <c r="OT11" s="2">
        <v>0</v>
      </c>
      <c r="OV11" s="2">
        <v>0</v>
      </c>
      <c r="OX11" s="2">
        <v>-63203.729999991956</v>
      </c>
      <c r="OZ11" s="2">
        <f t="shared" si="21"/>
        <v>-51670209.689999998</v>
      </c>
      <c r="PA11" s="25"/>
      <c r="PB11" s="18" t="s">
        <v>19</v>
      </c>
      <c r="PC11" s="2">
        <v>-33213338.329999998</v>
      </c>
      <c r="PD11" s="2"/>
      <c r="PE11" s="2">
        <v>-3940647.08</v>
      </c>
      <c r="PG11" s="39">
        <v>0</v>
      </c>
      <c r="PI11" s="2">
        <v>0</v>
      </c>
      <c r="PK11" s="2">
        <v>8999.4899999999943</v>
      </c>
      <c r="PM11" s="2">
        <f t="shared" si="22"/>
        <v>-37144985.919999994</v>
      </c>
      <c r="PN11" s="25"/>
      <c r="PO11" s="18" t="s">
        <v>19</v>
      </c>
      <c r="PP11" s="2">
        <v>-29998433.480000004</v>
      </c>
      <c r="PQ11" s="2"/>
      <c r="PR11" s="2">
        <v>-3204851.12</v>
      </c>
      <c r="PT11" s="39"/>
      <c r="PV11" s="2">
        <v>0</v>
      </c>
      <c r="PX11" s="2">
        <v>12787.159999999993</v>
      </c>
      <c r="PZ11" s="2">
        <f t="shared" si="23"/>
        <v>-33190497.440000005</v>
      </c>
      <c r="QA11" s="25"/>
      <c r="QB11" s="18" t="s">
        <v>19</v>
      </c>
      <c r="QC11" s="2">
        <v>-29029553.599999998</v>
      </c>
      <c r="QD11" s="2"/>
      <c r="QE11" s="2">
        <v>-2583211.52</v>
      </c>
      <c r="QG11" s="39"/>
      <c r="QI11" s="2">
        <v>0</v>
      </c>
      <c r="QK11" s="2">
        <v>19183.849999999995</v>
      </c>
      <c r="QM11" s="2">
        <f t="shared" si="24"/>
        <v>-31593581.269999996</v>
      </c>
      <c r="QN11" s="25"/>
      <c r="QO11" s="18" t="s">
        <v>19</v>
      </c>
      <c r="QP11" s="2">
        <v>-7071283.1899999995</v>
      </c>
      <c r="QQ11" s="2"/>
      <c r="QR11" s="2">
        <v>-1520737.37</v>
      </c>
      <c r="QT11" s="2">
        <v>-103001.78</v>
      </c>
      <c r="QV11" s="2">
        <v>0</v>
      </c>
      <c r="QX11" s="2">
        <v>-14597.53</v>
      </c>
      <c r="QZ11" s="2">
        <f t="shared" si="25"/>
        <v>-8709619.8699999973</v>
      </c>
      <c r="RA11" s="25"/>
      <c r="RB11" s="18" t="s">
        <v>19</v>
      </c>
      <c r="RC11" s="2">
        <v>-2976300.95</v>
      </c>
      <c r="RD11" s="2"/>
      <c r="RE11" s="2">
        <v>-524468.15999999992</v>
      </c>
      <c r="RG11" s="2">
        <v>-76387.81</v>
      </c>
      <c r="RI11" s="2">
        <v>0</v>
      </c>
      <c r="RK11" s="2">
        <v>-7962</v>
      </c>
      <c r="RM11" s="2">
        <f t="shared" si="26"/>
        <v>-3585118.9200000004</v>
      </c>
      <c r="RN11" s="25"/>
      <c r="RO11" s="18" t="s">
        <v>19</v>
      </c>
      <c r="RP11" s="2">
        <v>-1212126.01</v>
      </c>
      <c r="RQ11" s="2"/>
      <c r="RR11" s="2">
        <v>-167585.09999999998</v>
      </c>
      <c r="RT11" s="2">
        <v>-46915.880000000005</v>
      </c>
      <c r="RV11" s="2">
        <v>0</v>
      </c>
      <c r="RX11" s="2">
        <v>-4223.0000000001801</v>
      </c>
      <c r="RZ11" s="2">
        <f t="shared" si="27"/>
        <v>-1430849.99</v>
      </c>
      <c r="SA11" s="25"/>
      <c r="SB11" s="18" t="s">
        <v>19</v>
      </c>
      <c r="SC11" s="2">
        <v>-23260998.379999999</v>
      </c>
      <c r="SD11" s="2"/>
      <c r="SE11" s="2">
        <v>-1497864.07</v>
      </c>
      <c r="SG11" s="2">
        <v>-340942.49</v>
      </c>
      <c r="SI11" s="2">
        <v>0</v>
      </c>
      <c r="SK11" s="2">
        <v>-32277.280000001101</v>
      </c>
      <c r="SM11" s="2">
        <f t="shared" si="28"/>
        <v>-25132082.219999999</v>
      </c>
      <c r="SN11" s="25"/>
      <c r="SO11" s="18" t="s">
        <v>19</v>
      </c>
      <c r="SP11" s="2">
        <v>-16288782.23</v>
      </c>
      <c r="SQ11" s="2">
        <v>0</v>
      </c>
      <c r="SR11" s="2">
        <v>-705776.27</v>
      </c>
      <c r="SS11" s="2">
        <v>0</v>
      </c>
      <c r="ST11" s="2">
        <v>-281292.5</v>
      </c>
      <c r="SU11" s="2">
        <v>0</v>
      </c>
      <c r="SV11" s="2">
        <v>0</v>
      </c>
      <c r="SW11" s="2">
        <v>0</v>
      </c>
      <c r="SX11" s="2">
        <v>-30832.280000000501</v>
      </c>
      <c r="SZ11" s="2">
        <f t="shared" si="29"/>
        <v>-17306683.280000001</v>
      </c>
      <c r="TA11" s="25"/>
      <c r="TB11" s="18" t="s">
        <v>19</v>
      </c>
      <c r="TC11" s="2">
        <v>-8685358.6500000004</v>
      </c>
      <c r="TD11" s="2"/>
      <c r="TE11" s="2">
        <v>-259904.99000000002</v>
      </c>
      <c r="TG11" s="2">
        <v>-261058.12</v>
      </c>
      <c r="TI11" s="2">
        <v>0</v>
      </c>
      <c r="TK11" s="2">
        <v>-27166.600000003298</v>
      </c>
      <c r="TM11" s="2">
        <f t="shared" si="30"/>
        <v>-9233488.3600000031</v>
      </c>
      <c r="TN11" s="25"/>
      <c r="TO11" s="18" t="s">
        <v>19</v>
      </c>
      <c r="TP11" s="2">
        <v>-2383822.54</v>
      </c>
      <c r="TQ11" s="2"/>
      <c r="TR11" s="2">
        <v>-33108.520000000004</v>
      </c>
      <c r="TT11" s="2">
        <v>-130904.06999999999</v>
      </c>
      <c r="TV11" s="2">
        <v>0</v>
      </c>
      <c r="TX11" s="2">
        <v>0</v>
      </c>
      <c r="TZ11" s="2">
        <f t="shared" si="31"/>
        <v>-2547835.13</v>
      </c>
      <c r="UA11" s="25"/>
      <c r="UB11" s="18" t="s">
        <v>19</v>
      </c>
      <c r="UC11" s="2">
        <v>-54810154.260000005</v>
      </c>
      <c r="UD11" s="2"/>
      <c r="UE11" s="2">
        <v>-1101017.6499999999</v>
      </c>
      <c r="UG11" s="2">
        <v>-830038.5</v>
      </c>
      <c r="UI11" s="2">
        <v>-14700.9299999918</v>
      </c>
      <c r="UK11" s="2">
        <v>0</v>
      </c>
      <c r="UM11" s="2">
        <f t="shared" si="32"/>
        <v>-56755911.339999996</v>
      </c>
      <c r="UN11" s="25"/>
      <c r="UO11" s="18" t="s">
        <v>19</v>
      </c>
      <c r="UP11" s="2">
        <v>-37647806.859999999</v>
      </c>
      <c r="UQ11" s="2"/>
      <c r="UR11" s="2">
        <v>-383313.88</v>
      </c>
      <c r="UT11" s="2">
        <v>-546045.43999999994</v>
      </c>
      <c r="UV11" s="2">
        <v>-12600.92999999703</v>
      </c>
      <c r="UX11" s="2">
        <v>0</v>
      </c>
      <c r="UZ11" s="2">
        <f t="shared" si="33"/>
        <v>-38589767.109999999</v>
      </c>
      <c r="VA11" s="25"/>
      <c r="VB11" s="25" t="s">
        <v>19</v>
      </c>
      <c r="VC11" s="2">
        <v>-5722014.75</v>
      </c>
      <c r="VD11" s="2"/>
      <c r="VE11" s="2">
        <v>-349586.78</v>
      </c>
      <c r="VG11" s="2">
        <v>-23903.73</v>
      </c>
      <c r="VI11" s="2">
        <v>-8936.93</v>
      </c>
      <c r="VK11" s="2">
        <v>0</v>
      </c>
      <c r="VM11" s="2">
        <v>-6104442.1900000004</v>
      </c>
      <c r="VN11" s="25"/>
      <c r="VO11" s="25" t="s">
        <v>19</v>
      </c>
      <c r="VP11" s="2">
        <f>-4054.38692*1000</f>
        <v>-4054386.92</v>
      </c>
      <c r="VQ11" s="2"/>
      <c r="VR11" s="2">
        <f>-136.33695*1000</f>
        <v>-136336.95000000001</v>
      </c>
      <c r="VT11" s="2">
        <v>0</v>
      </c>
      <c r="VV11" s="2">
        <v>0</v>
      </c>
      <c r="VX11" s="2">
        <v>0</v>
      </c>
      <c r="VZ11" s="2">
        <f>-4190.72387*1000</f>
        <v>-4190723.8699999996</v>
      </c>
      <c r="WA11" s="25"/>
      <c r="WB11" s="19" t="s">
        <v>19</v>
      </c>
      <c r="WC11" s="2">
        <v>-43168416.399999999</v>
      </c>
      <c r="WD11" s="2"/>
      <c r="WE11" s="2">
        <v>-1920056.01</v>
      </c>
      <c r="WG11" s="2">
        <v>0</v>
      </c>
      <c r="WI11" s="2">
        <v>0</v>
      </c>
      <c r="WK11" s="2">
        <v>-347945.47999999701</v>
      </c>
      <c r="WM11" s="2">
        <f t="shared" si="34"/>
        <v>-45436417.889999993</v>
      </c>
      <c r="WN11" s="25"/>
      <c r="WO11" s="19" t="s">
        <v>19</v>
      </c>
      <c r="WP11" s="2">
        <f>-23949.23304*1000</f>
        <v>-23949233.039999999</v>
      </c>
      <c r="WQ11" s="2"/>
      <c r="WR11" s="2">
        <v>-1549680.59</v>
      </c>
      <c r="WX11" s="2">
        <f>(-123.84-126.85)*1000</f>
        <v>-250690</v>
      </c>
      <c r="WZ11" s="2">
        <f t="shared" si="35"/>
        <v>-25749603.629999999</v>
      </c>
      <c r="XA11" s="25"/>
      <c r="XB11" s="25" t="s">
        <v>19</v>
      </c>
      <c r="XC11" s="2">
        <v>-11045865.93</v>
      </c>
      <c r="XD11" s="2"/>
      <c r="XE11" s="2">
        <v>-1192816.6299999999</v>
      </c>
      <c r="XF11" s="2">
        <v>0</v>
      </c>
      <c r="XG11" s="2">
        <v>0</v>
      </c>
      <c r="XH11" s="2">
        <v>0</v>
      </c>
      <c r="XI11" s="2">
        <v>0</v>
      </c>
      <c r="XJ11" s="2">
        <v>0</v>
      </c>
      <c r="XK11" s="2">
        <v>0</v>
      </c>
      <c r="XM11" s="2">
        <v>12238682.559999999</v>
      </c>
      <c r="XN11" s="2"/>
      <c r="XO11" s="25" t="s">
        <v>19</v>
      </c>
      <c r="XP11" s="2">
        <f>-2301.39822*1000</f>
        <v>-2301398.2200000002</v>
      </c>
      <c r="XQ11" s="2"/>
      <c r="XR11" s="2">
        <f>-530.09448*1000</f>
        <v>-530094.48</v>
      </c>
      <c r="XT11" s="2">
        <v>0</v>
      </c>
      <c r="XV11" s="2">
        <v>0</v>
      </c>
      <c r="XX11" s="2">
        <f>416.15322*1000</f>
        <v>416153.22</v>
      </c>
      <c r="XZ11" s="2">
        <f>-2415.33948*1000</f>
        <v>-2415339.48</v>
      </c>
      <c r="YA11" s="2"/>
      <c r="YB11" s="25" t="s">
        <v>19</v>
      </c>
      <c r="YC11" s="2">
        <v>-34727324.960000001</v>
      </c>
      <c r="YD11" s="2"/>
      <c r="YE11" s="2">
        <v>-1450555.3299999982</v>
      </c>
      <c r="YG11" s="2">
        <v>0</v>
      </c>
      <c r="YI11" s="2">
        <v>0</v>
      </c>
      <c r="YK11" s="2">
        <v>-1237195.9699999988</v>
      </c>
      <c r="YM11" s="2">
        <f t="shared" si="36"/>
        <v>-37415076.259999998</v>
      </c>
      <c r="YN11" s="2"/>
      <c r="YO11" s="19" t="s">
        <v>19</v>
      </c>
      <c r="YP11" s="2">
        <f>-21001.63588*1000</f>
        <v>-21001635.880000003</v>
      </c>
      <c r="YQ11" s="2"/>
      <c r="YR11" s="2">
        <v>-1015542.64</v>
      </c>
      <c r="YZ11" s="2">
        <f t="shared" si="37"/>
        <v>-22017178.520000003</v>
      </c>
    </row>
    <row r="12" spans="1:676">
      <c r="A12" s="50" t="s">
        <v>23</v>
      </c>
      <c r="B12" s="2">
        <v>-48973772.119999997</v>
      </c>
      <c r="C12" s="71"/>
      <c r="D12" s="2">
        <v>-5011062.22</v>
      </c>
      <c r="E12" s="71"/>
      <c r="F12" s="2">
        <v>0</v>
      </c>
      <c r="G12" s="71"/>
      <c r="H12" s="2">
        <v>0</v>
      </c>
      <c r="I12" s="71"/>
      <c r="J12" s="2">
        <v>-4027935.35</v>
      </c>
      <c r="K12" s="71"/>
      <c r="L12" s="2">
        <v>299179.65999999997</v>
      </c>
      <c r="M12" s="71"/>
      <c r="N12" s="71">
        <f t="shared" si="38"/>
        <v>-57713590.030000001</v>
      </c>
      <c r="Q12" s="50" t="s">
        <v>23</v>
      </c>
      <c r="R12" s="2">
        <v>-33915076.113486283</v>
      </c>
      <c r="S12" s="71"/>
      <c r="T12" s="2">
        <v>-3805169.4</v>
      </c>
      <c r="U12" s="71"/>
      <c r="V12" s="2">
        <v>0</v>
      </c>
      <c r="W12" s="2"/>
      <c r="X12" s="2">
        <v>0</v>
      </c>
      <c r="Y12" s="71"/>
      <c r="Z12" s="2">
        <v>-3087755.7347379187</v>
      </c>
      <c r="AA12" s="71"/>
      <c r="AB12" s="2">
        <v>0</v>
      </c>
      <c r="AC12" s="71"/>
      <c r="AD12" s="71">
        <f t="shared" si="39"/>
        <v>-40808001.248224199</v>
      </c>
      <c r="AG12" s="50" t="s">
        <v>23</v>
      </c>
      <c r="AH12" s="2">
        <v>-21351595.085482106</v>
      </c>
      <c r="AI12" s="71"/>
      <c r="AJ12" s="2">
        <v>-2566965.08</v>
      </c>
      <c r="AK12" s="71"/>
      <c r="AL12" s="2">
        <v>0</v>
      </c>
      <c r="AM12" s="2"/>
      <c r="AN12" s="2">
        <v>0</v>
      </c>
      <c r="AO12" s="71"/>
      <c r="AP12" s="2">
        <v>-2140420.1084815022</v>
      </c>
      <c r="AQ12" s="71"/>
      <c r="AR12" s="2">
        <v>380121.44423333334</v>
      </c>
      <c r="AS12" s="71"/>
      <c r="AT12" s="71">
        <f t="shared" si="40"/>
        <v>-25678858.829730276</v>
      </c>
      <c r="AW12" s="50" t="s">
        <v>23</v>
      </c>
      <c r="AX12" s="2">
        <v>-9862392.8804681264</v>
      </c>
      <c r="AY12" s="70"/>
      <c r="AZ12" s="2">
        <v>-1143879.8399999999</v>
      </c>
      <c r="BA12" s="61"/>
      <c r="BB12" s="2">
        <v>0</v>
      </c>
      <c r="BC12" s="2"/>
      <c r="BD12" s="2">
        <v>0</v>
      </c>
      <c r="BE12" s="61"/>
      <c r="BF12" s="2">
        <v>-1081299.7666354293</v>
      </c>
      <c r="BG12" s="61"/>
      <c r="BH12" s="2">
        <v>182815.58076000001</v>
      </c>
      <c r="BI12" s="71"/>
      <c r="BJ12" s="71">
        <f t="shared" si="3"/>
        <v>-11904756.906343555</v>
      </c>
      <c r="BM12" s="50" t="s">
        <v>23</v>
      </c>
      <c r="BN12" s="2">
        <v>-34850587.790480867</v>
      </c>
      <c r="BO12" s="71"/>
      <c r="BP12" s="2">
        <v>-4120311.35</v>
      </c>
      <c r="BQ12" s="71"/>
      <c r="BR12" s="2">
        <v>0</v>
      </c>
      <c r="BS12" s="71"/>
      <c r="BT12" s="2">
        <v>0</v>
      </c>
      <c r="BU12" s="71"/>
      <c r="BV12" s="2">
        <v>-4389413.7821223354</v>
      </c>
      <c r="BW12" s="71"/>
      <c r="BX12" s="2">
        <v>309452.32190666668</v>
      </c>
      <c r="BY12" s="71"/>
      <c r="BZ12" s="71">
        <f t="shared" si="4"/>
        <v>-43050860.600696541</v>
      </c>
      <c r="CC12" s="50" t="s">
        <v>23</v>
      </c>
      <c r="CD12" s="2">
        <v>-25126658.054648872</v>
      </c>
      <c r="CE12" s="71"/>
      <c r="CF12" s="2">
        <v>-3034092.17</v>
      </c>
      <c r="CG12" s="71"/>
      <c r="CH12" s="2">
        <v>0</v>
      </c>
      <c r="CI12" s="2"/>
      <c r="CJ12" s="2">
        <v>0</v>
      </c>
      <c r="CK12" s="71"/>
      <c r="CL12" s="2">
        <v>-3312761.1330618178</v>
      </c>
      <c r="CM12" s="71"/>
      <c r="CN12" s="2">
        <v>244426.19610277779</v>
      </c>
      <c r="CO12" s="71"/>
      <c r="CP12" s="71">
        <f t="shared" si="5"/>
        <v>-31229085.16160791</v>
      </c>
      <c r="CS12" s="50" t="s">
        <v>23</v>
      </c>
      <c r="CT12" s="2">
        <v>-16503263.644514143</v>
      </c>
      <c r="CU12" s="71"/>
      <c r="CV12" s="2">
        <v>-1822121.33</v>
      </c>
      <c r="CW12" s="71"/>
      <c r="CX12" s="2">
        <v>0</v>
      </c>
      <c r="CY12" s="2"/>
      <c r="CZ12" s="2">
        <v>0</v>
      </c>
      <c r="DA12" s="71"/>
      <c r="DB12" s="2">
        <v>-2221533.4334254372</v>
      </c>
      <c r="DC12" s="71"/>
      <c r="DD12" s="2">
        <v>234839.30793957919</v>
      </c>
      <c r="DE12" s="71"/>
      <c r="DF12" s="71">
        <f t="shared" si="6"/>
        <v>-20312079.100000001</v>
      </c>
      <c r="DI12" s="50" t="s">
        <v>23</v>
      </c>
      <c r="DJ12" s="2">
        <v>-8907803.8836740814</v>
      </c>
      <c r="DK12" s="71"/>
      <c r="DL12" s="2">
        <v>-870277.95</v>
      </c>
      <c r="DM12" s="71"/>
      <c r="DN12" s="2">
        <v>0</v>
      </c>
      <c r="DO12" s="2"/>
      <c r="DP12" s="2">
        <v>0</v>
      </c>
      <c r="DQ12" s="71"/>
      <c r="DR12" s="2">
        <v>-1131995.594725389</v>
      </c>
      <c r="DS12" s="71"/>
      <c r="DT12" s="2">
        <v>228504.14</v>
      </c>
      <c r="DU12" s="71"/>
      <c r="DV12" s="71">
        <f t="shared" si="7"/>
        <v>-10681573.288399469</v>
      </c>
      <c r="DY12" s="50" t="s">
        <v>23</v>
      </c>
      <c r="DZ12" s="61">
        <v>-25482494.919419259</v>
      </c>
      <c r="EA12" s="71"/>
      <c r="EB12" s="61">
        <v>-3646928.92</v>
      </c>
      <c r="EC12" s="71"/>
      <c r="ED12" s="61">
        <v>0</v>
      </c>
      <c r="EE12" s="71"/>
      <c r="EF12" s="61">
        <v>-4876093.7317859475</v>
      </c>
      <c r="EG12" s="71"/>
      <c r="EH12" s="61">
        <v>1173653.6112052063</v>
      </c>
      <c r="EI12" s="71"/>
      <c r="EJ12" s="71">
        <f t="shared" si="8"/>
        <v>-32831863.960000001</v>
      </c>
      <c r="EM12" s="50" t="s">
        <v>23</v>
      </c>
      <c r="EN12" s="2">
        <v>-17642527.906119153</v>
      </c>
      <c r="EO12" s="48"/>
      <c r="EP12" s="2">
        <v>-2694126.5199999996</v>
      </c>
      <c r="EQ12" s="48"/>
      <c r="ER12" s="2">
        <v>0</v>
      </c>
      <c r="ES12" s="48"/>
      <c r="ET12" s="2">
        <v>-3692979.8437365144</v>
      </c>
      <c r="EU12" s="48"/>
      <c r="EV12" s="2">
        <v>798009.74950711103</v>
      </c>
      <c r="EW12" s="48"/>
      <c r="EX12" s="48">
        <f t="shared" si="41"/>
        <v>-23231624.520348556</v>
      </c>
      <c r="FA12" s="50" t="s">
        <v>23</v>
      </c>
      <c r="FB12" s="2">
        <v>-10696546.707947077</v>
      </c>
      <c r="FC12" s="48"/>
      <c r="FD12" s="2">
        <v>-1742993.32</v>
      </c>
      <c r="FE12" s="48"/>
      <c r="FF12" s="2">
        <v>0</v>
      </c>
      <c r="FG12" s="48"/>
      <c r="FH12" s="2">
        <v>-2480082.156684231</v>
      </c>
      <c r="FI12" s="48"/>
      <c r="FJ12" s="2">
        <v>0</v>
      </c>
      <c r="FK12" s="48"/>
      <c r="FL12" s="48">
        <f t="shared" si="9"/>
        <v>-14919622.184631309</v>
      </c>
      <c r="FO12" s="50" t="s">
        <v>23</v>
      </c>
      <c r="FP12" s="2">
        <v>-4874479.5850547757</v>
      </c>
      <c r="FQ12" s="48"/>
      <c r="FR12" s="2">
        <v>-847848.3</v>
      </c>
      <c r="FS12" s="48"/>
      <c r="FT12" s="2">
        <v>0</v>
      </c>
      <c r="FU12" s="48"/>
      <c r="FV12" s="2">
        <v>-1220924.52649986</v>
      </c>
      <c r="FW12" s="48"/>
      <c r="FX12" s="2">
        <v>5075.5215546347645</v>
      </c>
      <c r="FY12" s="48"/>
      <c r="FZ12" s="48">
        <f t="shared" si="10"/>
        <v>-6938176.8900000006</v>
      </c>
      <c r="GC12" s="50" t="s">
        <v>23</v>
      </c>
      <c r="GD12" s="2">
        <v>-12835487.345749864</v>
      </c>
      <c r="GE12" s="48"/>
      <c r="GF12" s="2">
        <v>-2721239.38</v>
      </c>
      <c r="GG12" s="48"/>
      <c r="GH12" s="2">
        <v>0</v>
      </c>
      <c r="GI12" s="48"/>
      <c r="GJ12" s="2">
        <v>-3240382.3080612216</v>
      </c>
      <c r="GK12" s="48"/>
      <c r="GL12" s="2">
        <v>48795.760000013404</v>
      </c>
      <c r="GM12" s="48"/>
      <c r="GN12" s="48">
        <f t="shared" si="11"/>
        <v>-18748313.273811072</v>
      </c>
      <c r="GQ12" s="50" t="s">
        <v>23</v>
      </c>
      <c r="GR12" s="2">
        <v>-8788824.1428974997</v>
      </c>
      <c r="GS12" s="48"/>
      <c r="GT12" s="2">
        <v>-1943118</v>
      </c>
      <c r="GU12" s="48"/>
      <c r="GV12" s="2">
        <v>0</v>
      </c>
      <c r="GW12" s="48"/>
      <c r="GX12" s="2">
        <v>-2007839.9876240795</v>
      </c>
      <c r="GY12" s="48"/>
      <c r="GZ12" s="2">
        <v>317524.54144200927</v>
      </c>
      <c r="HA12" s="48"/>
      <c r="HB12" s="48">
        <f t="shared" si="42"/>
        <v>-12422257.58907957</v>
      </c>
      <c r="HE12" s="50" t="s">
        <v>23</v>
      </c>
      <c r="HF12" s="2">
        <v>-4887598.0497605</v>
      </c>
      <c r="HG12" s="48"/>
      <c r="HH12" s="2">
        <v>-1250403.5</v>
      </c>
      <c r="HI12" s="48"/>
      <c r="HJ12" s="2">
        <v>0</v>
      </c>
      <c r="HK12" s="48"/>
      <c r="HL12" s="53">
        <v>-816276.7948929877</v>
      </c>
      <c r="HM12" s="48"/>
      <c r="HN12" s="2">
        <v>48795.759402000003</v>
      </c>
      <c r="HO12" s="48"/>
      <c r="HP12" s="48">
        <f t="shared" si="12"/>
        <v>-6905482.5852514869</v>
      </c>
      <c r="HS12" s="50" t="s">
        <v>23</v>
      </c>
      <c r="HT12" s="2">
        <v>-1860071.24</v>
      </c>
      <c r="HU12" s="48"/>
      <c r="HV12" s="2">
        <v>-568814.59000000008</v>
      </c>
      <c r="HW12" s="48"/>
      <c r="HX12" s="2">
        <v>0</v>
      </c>
      <c r="HY12" s="48"/>
      <c r="HZ12" s="2">
        <v>0</v>
      </c>
      <c r="IA12" s="48"/>
      <c r="IB12" s="2">
        <v>0</v>
      </c>
      <c r="IC12" s="48"/>
      <c r="ID12" s="48">
        <f t="shared" si="13"/>
        <v>-2428885.83</v>
      </c>
      <c r="IG12" s="50" t="s">
        <v>23</v>
      </c>
      <c r="IH12" s="2">
        <v>-5098920.45</v>
      </c>
      <c r="II12" s="48"/>
      <c r="IJ12" s="2">
        <v>-2529653.21</v>
      </c>
      <c r="IK12" s="48"/>
      <c r="IL12" s="2">
        <v>0</v>
      </c>
      <c r="IM12" s="48"/>
      <c r="IN12" s="2">
        <v>0</v>
      </c>
      <c r="IO12" s="48"/>
      <c r="IP12" s="2">
        <v>1.4901161193847699E-8</v>
      </c>
      <c r="IQ12" s="48"/>
      <c r="IR12" s="48">
        <f t="shared" si="14"/>
        <v>-7628573.6599999852</v>
      </c>
      <c r="IU12" s="50" t="s">
        <v>23</v>
      </c>
      <c r="IV12" s="2">
        <v>-3432821.79</v>
      </c>
      <c r="IW12" s="48"/>
      <c r="IX12" s="2">
        <v>-2003693.9100000001</v>
      </c>
      <c r="IY12" s="48"/>
      <c r="IZ12" s="2">
        <v>0</v>
      </c>
      <c r="JA12" s="48"/>
      <c r="JB12" s="2">
        <v>0</v>
      </c>
      <c r="JC12" s="48"/>
      <c r="JD12" s="2">
        <v>0</v>
      </c>
      <c r="JE12" s="48"/>
      <c r="JF12" s="48">
        <f t="shared" si="43"/>
        <v>-5436515.7000000002</v>
      </c>
      <c r="JI12" s="50" t="s">
        <v>23</v>
      </c>
      <c r="JJ12" s="2">
        <v>-2255064.5300000003</v>
      </c>
      <c r="JK12" s="48"/>
      <c r="JL12" s="2">
        <v>-1252721.8799999999</v>
      </c>
      <c r="JM12" s="48"/>
      <c r="JN12" s="2">
        <v>0</v>
      </c>
      <c r="JO12" s="48"/>
      <c r="JP12" s="2">
        <v>0</v>
      </c>
      <c r="JQ12" s="48"/>
      <c r="JR12" s="2">
        <v>0</v>
      </c>
      <c r="JS12" s="48"/>
      <c r="JT12" s="48">
        <f t="shared" si="15"/>
        <v>-3507786.41</v>
      </c>
      <c r="JW12" s="50" t="s">
        <v>23</v>
      </c>
      <c r="JX12" s="2">
        <v>-1098316.8999999999</v>
      </c>
      <c r="JY12" s="48"/>
      <c r="JZ12" s="2">
        <v>-573028.39</v>
      </c>
      <c r="KA12" s="48"/>
      <c r="KB12" s="2">
        <v>0</v>
      </c>
      <c r="KC12" s="48"/>
      <c r="KD12" s="2">
        <v>0</v>
      </c>
      <c r="KE12" s="48"/>
      <c r="KF12" s="2">
        <v>0</v>
      </c>
      <c r="KG12" s="48"/>
      <c r="KH12" s="48">
        <f t="shared" si="16"/>
        <v>-1671345.29</v>
      </c>
      <c r="KK12" s="50" t="s">
        <v>23</v>
      </c>
      <c r="KL12" s="2">
        <v>-4568142.58</v>
      </c>
      <c r="KM12" s="48"/>
      <c r="KN12" s="2">
        <v>-2849505.46</v>
      </c>
      <c r="KO12" s="48"/>
      <c r="KP12" s="2">
        <v>0</v>
      </c>
      <c r="KQ12" s="48"/>
      <c r="KR12" s="2">
        <v>0</v>
      </c>
      <c r="KS12" s="48"/>
      <c r="KT12" s="2">
        <v>0</v>
      </c>
      <c r="KU12" s="48"/>
      <c r="KV12" s="48">
        <f t="shared" si="17"/>
        <v>-7417648.04</v>
      </c>
      <c r="KW12" s="49"/>
      <c r="KX12" s="49"/>
      <c r="KY12" s="50" t="s">
        <v>23</v>
      </c>
      <c r="KZ12" s="2">
        <v>-3473510.81</v>
      </c>
      <c r="LA12" s="48"/>
      <c r="LB12" s="2">
        <v>-2382909.9899999998</v>
      </c>
      <c r="LC12" s="48"/>
      <c r="LD12" s="2">
        <v>0</v>
      </c>
      <c r="LE12" s="48"/>
      <c r="LF12" s="2">
        <v>0</v>
      </c>
      <c r="LG12" s="48"/>
      <c r="LH12" s="2">
        <v>0</v>
      </c>
      <c r="LI12" s="48"/>
      <c r="LJ12" s="48">
        <f t="shared" si="44"/>
        <v>-5856420.7999999998</v>
      </c>
      <c r="LK12" s="49"/>
      <c r="LL12" s="49"/>
      <c r="LM12" s="47" t="s">
        <v>23</v>
      </c>
      <c r="LN12" s="2">
        <v>-2517349.7400000002</v>
      </c>
      <c r="LO12" s="48"/>
      <c r="LP12" s="2">
        <v>-1755943.22</v>
      </c>
      <c r="LQ12" s="48"/>
      <c r="LR12" s="2">
        <v>0</v>
      </c>
      <c r="LS12" s="48"/>
      <c r="LT12" s="2">
        <v>0</v>
      </c>
      <c r="LU12" s="48"/>
      <c r="LV12" s="2">
        <v>0</v>
      </c>
      <c r="LW12" s="48"/>
      <c r="LX12" s="48">
        <f t="shared" si="45"/>
        <v>-4273292.96</v>
      </c>
      <c r="LY12" s="49"/>
      <c r="LZ12" s="47" t="s">
        <v>23</v>
      </c>
      <c r="MA12" s="2">
        <v>-1156205.8999999999</v>
      </c>
      <c r="MB12" s="48"/>
      <c r="MC12" s="2">
        <v>-978716.62</v>
      </c>
      <c r="MD12" s="48"/>
      <c r="ME12" s="2">
        <v>0</v>
      </c>
      <c r="MG12" s="2">
        <v>0</v>
      </c>
      <c r="MI12" s="2">
        <v>0</v>
      </c>
      <c r="MK12" s="2">
        <f t="shared" si="18"/>
        <v>-2134922.52</v>
      </c>
      <c r="MM12" s="50" t="s">
        <v>23</v>
      </c>
      <c r="MN12" s="2">
        <v>-4304908.05</v>
      </c>
      <c r="MO12" s="48"/>
      <c r="MP12" s="2">
        <v>-3097077.82</v>
      </c>
      <c r="MQ12" s="48"/>
      <c r="MR12" s="2">
        <v>0</v>
      </c>
      <c r="MS12" s="48"/>
      <c r="MT12" s="2">
        <v>0</v>
      </c>
      <c r="MU12" s="48"/>
      <c r="MV12" s="2">
        <v>0</v>
      </c>
      <c r="MW12" s="48"/>
      <c r="MX12" s="48">
        <f t="shared" si="19"/>
        <v>-7401985.8699999992</v>
      </c>
      <c r="MY12" s="49"/>
      <c r="MZ12" s="49"/>
      <c r="NA12" s="50" t="s">
        <v>23</v>
      </c>
      <c r="NB12" s="2">
        <v>-2977331.5300000003</v>
      </c>
      <c r="NC12" s="48"/>
      <c r="ND12" s="2">
        <v>-2425354.13</v>
      </c>
      <c r="NE12" s="48"/>
      <c r="NF12" s="2">
        <v>0</v>
      </c>
      <c r="NG12" s="48"/>
      <c r="NH12" s="2">
        <v>0</v>
      </c>
      <c r="NI12" s="48"/>
      <c r="NJ12" s="2">
        <v>0</v>
      </c>
      <c r="NK12" s="48"/>
      <c r="NL12" s="48">
        <f t="shared" si="46"/>
        <v>-5402685.6600000001</v>
      </c>
      <c r="NM12" s="49"/>
      <c r="NN12" s="49"/>
      <c r="NO12" s="47" t="s">
        <v>23</v>
      </c>
      <c r="NP12" s="2">
        <v>-1958691.56</v>
      </c>
      <c r="NQ12" s="48"/>
      <c r="NR12" s="2">
        <v>-1611864.19</v>
      </c>
      <c r="NS12" s="48"/>
      <c r="NT12" s="2">
        <v>0</v>
      </c>
      <c r="NU12" s="48"/>
      <c r="NV12" s="2">
        <v>0</v>
      </c>
      <c r="NW12" s="48"/>
      <c r="NX12" s="2">
        <v>0</v>
      </c>
      <c r="NY12" s="48"/>
      <c r="NZ12" s="48">
        <f t="shared" si="47"/>
        <v>-3570555.75</v>
      </c>
      <c r="OA12" s="49"/>
      <c r="OB12" s="47" t="s">
        <v>23</v>
      </c>
      <c r="OC12" s="2">
        <v>-873079.14000000013</v>
      </c>
      <c r="OD12" s="48"/>
      <c r="OE12" s="2">
        <v>-836035.52</v>
      </c>
      <c r="OF12" s="48"/>
      <c r="OG12" s="55">
        <v>0</v>
      </c>
      <c r="OI12" s="2">
        <v>0</v>
      </c>
      <c r="OK12" s="2">
        <v>0</v>
      </c>
      <c r="OM12" s="2">
        <f t="shared" si="20"/>
        <v>-1709114.6600000001</v>
      </c>
      <c r="OO12" s="18" t="s">
        <v>23</v>
      </c>
      <c r="OP12" s="2">
        <v>-4428009.2</v>
      </c>
      <c r="OQ12" s="2">
        <v>0</v>
      </c>
      <c r="OR12" s="2">
        <v>-3767362.96</v>
      </c>
      <c r="OT12" s="2">
        <v>0</v>
      </c>
      <c r="OV12" s="2">
        <v>0</v>
      </c>
      <c r="OX12" s="2">
        <v>0</v>
      </c>
      <c r="OZ12" s="2">
        <f t="shared" si="21"/>
        <v>-8195372.1600000001</v>
      </c>
      <c r="PA12" s="25"/>
      <c r="PB12" s="18" t="s">
        <v>23</v>
      </c>
      <c r="PC12" s="2">
        <v>-3547590.49</v>
      </c>
      <c r="PD12" s="2"/>
      <c r="PE12" s="2">
        <v>-3237383.9699999997</v>
      </c>
      <c r="PG12" s="39"/>
      <c r="PI12" s="2">
        <v>0</v>
      </c>
      <c r="PK12" s="2">
        <v>0</v>
      </c>
      <c r="PM12" s="2">
        <f t="shared" si="22"/>
        <v>-6784974.46</v>
      </c>
      <c r="PN12" s="25"/>
      <c r="PO12" s="18" t="s">
        <v>23</v>
      </c>
      <c r="PP12" s="2">
        <v>-2842281.4000000004</v>
      </c>
      <c r="PQ12" s="2"/>
      <c r="PR12" s="2">
        <v>-2491228.83</v>
      </c>
      <c r="PT12" s="39"/>
      <c r="PV12" s="2">
        <v>0</v>
      </c>
      <c r="PX12" s="2">
        <v>0</v>
      </c>
      <c r="PZ12" s="2">
        <f t="shared" si="23"/>
        <v>-5333510.2300000004</v>
      </c>
      <c r="QA12" s="25"/>
      <c r="QB12" s="18" t="s">
        <v>23</v>
      </c>
      <c r="QC12" s="2">
        <v>-2169366.17</v>
      </c>
      <c r="QD12" s="2"/>
      <c r="QE12" s="2">
        <v>-1959616.13</v>
      </c>
      <c r="QG12" s="39"/>
      <c r="QI12" s="2">
        <v>0</v>
      </c>
      <c r="QK12" s="2">
        <v>0</v>
      </c>
      <c r="QM12" s="2">
        <f t="shared" si="24"/>
        <v>-4128982.3</v>
      </c>
      <c r="QN12" s="25"/>
      <c r="QO12" s="18" t="s">
        <v>23</v>
      </c>
      <c r="QP12" s="2">
        <v>-1508882.45</v>
      </c>
      <c r="QQ12" s="2"/>
      <c r="QR12" s="2">
        <v>-1376623.8</v>
      </c>
      <c r="QT12" s="2">
        <v>0</v>
      </c>
      <c r="QV12" s="2">
        <v>0</v>
      </c>
      <c r="QX12" s="2">
        <v>0</v>
      </c>
      <c r="QZ12" s="2">
        <f t="shared" si="25"/>
        <v>-2885506.25</v>
      </c>
      <c r="RA12" s="25"/>
      <c r="RB12" s="18" t="s">
        <v>23</v>
      </c>
      <c r="RC12" s="2">
        <v>-1030819.7599999999</v>
      </c>
      <c r="RD12" s="2"/>
      <c r="RE12" s="2">
        <v>-921302.9</v>
      </c>
      <c r="RG12" s="2">
        <v>0</v>
      </c>
      <c r="RI12" s="2">
        <v>0</v>
      </c>
      <c r="RK12" s="2">
        <v>0</v>
      </c>
      <c r="RM12" s="2">
        <f t="shared" si="26"/>
        <v>-1952122.66</v>
      </c>
      <c r="RN12" s="25"/>
      <c r="RO12" s="18" t="s">
        <v>23</v>
      </c>
      <c r="RP12" s="2">
        <v>-470662.37</v>
      </c>
      <c r="RQ12" s="2"/>
      <c r="RR12" s="2">
        <v>-295394.24</v>
      </c>
      <c r="RT12" s="2">
        <v>0</v>
      </c>
      <c r="RV12" s="2">
        <v>0</v>
      </c>
      <c r="RX12" s="2">
        <v>-5590.00000000003</v>
      </c>
      <c r="RZ12" s="2">
        <f t="shared" si="27"/>
        <v>-771646.61</v>
      </c>
      <c r="SA12" s="25"/>
      <c r="SB12" s="18" t="s">
        <v>23</v>
      </c>
      <c r="SC12" s="2">
        <v>-2483867.77</v>
      </c>
      <c r="SD12" s="2"/>
      <c r="SE12" s="2">
        <v>-1562851.36</v>
      </c>
      <c r="SG12" s="2">
        <v>0</v>
      </c>
      <c r="SI12" s="2">
        <v>0</v>
      </c>
      <c r="SK12" s="2">
        <v>0</v>
      </c>
      <c r="SM12" s="2">
        <f t="shared" si="28"/>
        <v>-4046719.13</v>
      </c>
      <c r="SN12" s="25"/>
      <c r="SO12" s="18" t="s">
        <v>23</v>
      </c>
      <c r="SP12" s="2">
        <v>-1962037.7899999998</v>
      </c>
      <c r="SQ12" s="2">
        <v>0</v>
      </c>
      <c r="SR12" s="2">
        <v>-1124958.94</v>
      </c>
      <c r="SS12" s="2">
        <v>0</v>
      </c>
      <c r="ST12" s="2">
        <v>0</v>
      </c>
      <c r="SU12" s="2">
        <v>0</v>
      </c>
      <c r="SV12" s="2">
        <v>0</v>
      </c>
      <c r="SW12" s="2">
        <v>0</v>
      </c>
      <c r="SX12" s="2">
        <v>0</v>
      </c>
      <c r="SZ12" s="2">
        <f t="shared" si="29"/>
        <v>-3086996.7299999995</v>
      </c>
      <c r="TA12" s="25"/>
      <c r="TB12" s="18" t="s">
        <v>23</v>
      </c>
      <c r="TC12" s="2">
        <v>-1241802.8400000001</v>
      </c>
      <c r="TD12" s="2"/>
      <c r="TE12" s="2">
        <v>-743491.08000000007</v>
      </c>
      <c r="TG12" s="2">
        <v>0</v>
      </c>
      <c r="TI12" s="2">
        <v>0</v>
      </c>
      <c r="TK12" s="2">
        <v>0</v>
      </c>
      <c r="TM12" s="2">
        <f t="shared" si="30"/>
        <v>-1985293.9200000002</v>
      </c>
      <c r="TN12" s="25"/>
      <c r="TO12" s="18" t="s">
        <v>23</v>
      </c>
      <c r="TP12" s="2">
        <v>-608373.22000000009</v>
      </c>
      <c r="TQ12" s="2"/>
      <c r="TR12" s="2">
        <v>-369172.89</v>
      </c>
      <c r="TT12" s="2">
        <v>0</v>
      </c>
      <c r="TV12" s="2">
        <v>0</v>
      </c>
      <c r="TX12" s="2">
        <v>0</v>
      </c>
      <c r="TZ12" s="2">
        <f t="shared" si="31"/>
        <v>-977546.1100000001</v>
      </c>
      <c r="UA12" s="25"/>
      <c r="UB12" s="18" t="s">
        <v>23</v>
      </c>
      <c r="UC12" s="2">
        <v>-3337222.0000000005</v>
      </c>
      <c r="UD12" s="2"/>
      <c r="UE12" s="2">
        <v>-1035623.1699999999</v>
      </c>
      <c r="UG12" s="2">
        <v>0</v>
      </c>
      <c r="UI12" s="2">
        <v>0</v>
      </c>
      <c r="UK12" s="2">
        <v>0</v>
      </c>
      <c r="UM12" s="2">
        <f t="shared" si="32"/>
        <v>-4372845.17</v>
      </c>
      <c r="UN12" s="25"/>
      <c r="UO12" s="18" t="s">
        <v>23</v>
      </c>
      <c r="UP12" s="2">
        <v>-2538695.58</v>
      </c>
      <c r="UQ12" s="2"/>
      <c r="UR12" s="2">
        <v>-769207.41999999993</v>
      </c>
      <c r="UT12" s="2">
        <v>0</v>
      </c>
      <c r="UV12" s="2">
        <v>0</v>
      </c>
      <c r="UX12" s="2">
        <v>0</v>
      </c>
      <c r="UZ12" s="2">
        <f t="shared" si="33"/>
        <v>-3307903</v>
      </c>
      <c r="VA12" s="25"/>
      <c r="VB12" s="25" t="s">
        <v>23</v>
      </c>
      <c r="VC12" s="2">
        <v>-1937924.8</v>
      </c>
      <c r="VD12" s="2"/>
      <c r="VE12" s="2">
        <v>-497948</v>
      </c>
      <c r="VG12" s="2">
        <v>0</v>
      </c>
      <c r="VI12" s="2">
        <v>0</v>
      </c>
      <c r="VK12" s="2">
        <v>0</v>
      </c>
      <c r="VM12" s="2">
        <v>-2435872.7999999998</v>
      </c>
      <c r="VN12" s="25"/>
      <c r="VO12" s="25" t="s">
        <v>23</v>
      </c>
      <c r="VP12" s="2">
        <f>-610.14752*1000</f>
        <v>-610147.52</v>
      </c>
      <c r="VQ12" s="2"/>
      <c r="VR12" s="2">
        <f>-241.218*1000</f>
        <v>-241218</v>
      </c>
      <c r="VT12" s="2">
        <v>0</v>
      </c>
      <c r="VV12" s="2">
        <v>0</v>
      </c>
      <c r="VX12" s="2">
        <v>0</v>
      </c>
      <c r="VZ12" s="2">
        <f>-851.36552*1000</f>
        <v>-851365.5199999999</v>
      </c>
      <c r="WA12" s="25"/>
      <c r="WB12" s="19" t="s">
        <v>23</v>
      </c>
      <c r="WC12" s="2">
        <v>-2981767.59</v>
      </c>
      <c r="WD12" s="2"/>
      <c r="WE12" s="2">
        <v>-1242661</v>
      </c>
      <c r="WG12" s="2">
        <v>0</v>
      </c>
      <c r="WI12" s="2">
        <v>0</v>
      </c>
      <c r="WK12" s="2">
        <v>0</v>
      </c>
      <c r="WM12" s="2">
        <f t="shared" si="34"/>
        <v>-4224428.59</v>
      </c>
      <c r="WN12" s="25"/>
      <c r="WO12" s="19" t="s">
        <v>23</v>
      </c>
      <c r="WP12" s="2">
        <f>-2234530.66+95635.35</f>
        <v>-2138895.31</v>
      </c>
      <c r="WQ12" s="2"/>
      <c r="WR12" s="2">
        <v>-935780.30781045405</v>
      </c>
      <c r="WZ12" s="2">
        <f t="shared" si="35"/>
        <v>-3074675.6178104542</v>
      </c>
      <c r="XA12" s="25"/>
      <c r="XB12" s="25" t="s">
        <v>23</v>
      </c>
      <c r="XC12" s="2">
        <v>-1350483.36</v>
      </c>
      <c r="XD12" s="2"/>
      <c r="XE12" s="2">
        <v>-628057.5</v>
      </c>
      <c r="XF12" s="2">
        <v>0</v>
      </c>
      <c r="XG12" s="2">
        <v>0</v>
      </c>
      <c r="XH12" s="2">
        <v>0</v>
      </c>
      <c r="XI12" s="2">
        <v>0</v>
      </c>
      <c r="XJ12" s="2">
        <v>0</v>
      </c>
      <c r="XK12" s="2">
        <v>0</v>
      </c>
      <c r="XM12" s="2">
        <v>1978540.8599999999</v>
      </c>
      <c r="XN12" s="2"/>
      <c r="XO12" s="25" t="s">
        <v>23</v>
      </c>
      <c r="XP12" s="2">
        <f>-596.55555*1000</f>
        <v>-596555.55000000005</v>
      </c>
      <c r="XQ12" s="2"/>
      <c r="XR12" s="2">
        <f>-308.34936*1000</f>
        <v>-308349.36</v>
      </c>
      <c r="XT12" s="2">
        <v>0</v>
      </c>
      <c r="XV12" s="2">
        <v>0</v>
      </c>
      <c r="XX12" s="2">
        <v>0</v>
      </c>
      <c r="XZ12" s="2">
        <f>-904.90491*1000</f>
        <v>-904904.90999999992</v>
      </c>
      <c r="YA12" s="2"/>
      <c r="YB12" s="25" t="s">
        <v>23</v>
      </c>
      <c r="YC12" s="2">
        <v>-2382260.66</v>
      </c>
      <c r="YD12" s="2"/>
      <c r="YE12" s="2">
        <v>-1348990.06</v>
      </c>
      <c r="YG12" s="2">
        <v>0</v>
      </c>
      <c r="YI12" s="2">
        <v>0</v>
      </c>
      <c r="YK12" s="2">
        <v>113301</v>
      </c>
      <c r="YM12" s="2">
        <f t="shared" si="36"/>
        <v>-3617949.72</v>
      </c>
      <c r="YN12" s="2"/>
      <c r="YO12" s="19" t="s">
        <v>23</v>
      </c>
      <c r="YP12" s="2">
        <f>-1721223.61</f>
        <v>-1721223.61</v>
      </c>
      <c r="YQ12" s="2"/>
      <c r="YR12" s="2">
        <v>-996337.7</v>
      </c>
      <c r="YZ12" s="2">
        <f t="shared" si="37"/>
        <v>-2717561.31</v>
      </c>
    </row>
    <row r="13" spans="1:676">
      <c r="A13" s="50" t="s">
        <v>24</v>
      </c>
      <c r="B13" s="2">
        <v>0</v>
      </c>
      <c r="C13" s="71"/>
      <c r="D13" s="2">
        <v>0</v>
      </c>
      <c r="E13" s="71"/>
      <c r="F13" s="2">
        <v>0</v>
      </c>
      <c r="G13" s="71"/>
      <c r="H13" s="2">
        <v>0</v>
      </c>
      <c r="I13" s="71"/>
      <c r="J13" s="2">
        <v>-23180490.559999999</v>
      </c>
      <c r="K13" s="71"/>
      <c r="L13" s="2">
        <v>0</v>
      </c>
      <c r="M13" s="71"/>
      <c r="N13" s="71">
        <f t="shared" si="38"/>
        <v>-23180490.559999999</v>
      </c>
      <c r="Q13" s="50" t="s">
        <v>24</v>
      </c>
      <c r="R13" s="2">
        <v>0</v>
      </c>
      <c r="S13" s="71"/>
      <c r="T13" s="2">
        <v>0</v>
      </c>
      <c r="U13" s="71"/>
      <c r="V13" s="2">
        <v>0</v>
      </c>
      <c r="W13" s="2"/>
      <c r="X13" s="2">
        <v>0</v>
      </c>
      <c r="Y13" s="71"/>
      <c r="Z13" s="2">
        <v>-14516940.034345906</v>
      </c>
      <c r="AA13" s="71"/>
      <c r="AB13" s="2">
        <v>106200</v>
      </c>
      <c r="AC13" s="71"/>
      <c r="AD13" s="71">
        <f t="shared" si="39"/>
        <v>-14410740.034345906</v>
      </c>
      <c r="AG13" s="50" t="s">
        <v>24</v>
      </c>
      <c r="AH13" s="2">
        <v>0</v>
      </c>
      <c r="AI13" s="71"/>
      <c r="AJ13" s="2">
        <v>0</v>
      </c>
      <c r="AK13" s="71"/>
      <c r="AL13" s="2">
        <v>0</v>
      </c>
      <c r="AM13" s="2"/>
      <c r="AN13" s="2">
        <v>0</v>
      </c>
      <c r="AO13" s="71"/>
      <c r="AP13" s="2">
        <v>-9423236.424527334</v>
      </c>
      <c r="AQ13" s="71"/>
      <c r="AR13" s="2">
        <v>70800</v>
      </c>
      <c r="AS13" s="71"/>
      <c r="AT13" s="71">
        <f t="shared" si="40"/>
        <v>-9352436.424527334</v>
      </c>
      <c r="AW13" s="50" t="s">
        <v>24</v>
      </c>
      <c r="AX13" s="2">
        <v>0</v>
      </c>
      <c r="AY13" s="70"/>
      <c r="AZ13" s="2">
        <v>0</v>
      </c>
      <c r="BA13" s="61"/>
      <c r="BB13" s="2">
        <v>0</v>
      </c>
      <c r="BC13" s="2"/>
      <c r="BD13" s="2">
        <v>0</v>
      </c>
      <c r="BE13" s="61"/>
      <c r="BF13" s="2">
        <v>-4320356.3312439993</v>
      </c>
      <c r="BG13" s="61"/>
      <c r="BH13" s="2">
        <v>35400</v>
      </c>
      <c r="BI13" s="71"/>
      <c r="BJ13" s="71">
        <f t="shared" si="3"/>
        <v>-4284956.3312439993</v>
      </c>
      <c r="BM13" s="50" t="s">
        <v>24</v>
      </c>
      <c r="BN13" s="2">
        <v>0</v>
      </c>
      <c r="BO13" s="71"/>
      <c r="BP13" s="2">
        <v>0</v>
      </c>
      <c r="BQ13" s="71"/>
      <c r="BR13" s="2">
        <v>0</v>
      </c>
      <c r="BS13" s="71"/>
      <c r="BT13" s="2">
        <v>0</v>
      </c>
      <c r="BU13" s="71"/>
      <c r="BV13" s="2">
        <v>-15697981.010921672</v>
      </c>
      <c r="BW13" s="71"/>
      <c r="BX13" s="2">
        <v>141600</v>
      </c>
      <c r="BY13" s="71"/>
      <c r="BZ13" s="71">
        <f t="shared" si="4"/>
        <v>-15556381.010921672</v>
      </c>
      <c r="CC13" s="50" t="s">
        <v>24</v>
      </c>
      <c r="CD13" s="2">
        <v>0</v>
      </c>
      <c r="CE13" s="71"/>
      <c r="CF13" s="2">
        <v>0</v>
      </c>
      <c r="CG13" s="71"/>
      <c r="CH13" s="2">
        <v>0</v>
      </c>
      <c r="CI13" s="2"/>
      <c r="CJ13" s="2">
        <v>0</v>
      </c>
      <c r="CK13" s="71"/>
      <c r="CL13" s="2">
        <v>-10676429.491146557</v>
      </c>
      <c r="CM13" s="71"/>
      <c r="CN13" s="2">
        <v>106200</v>
      </c>
      <c r="CO13" s="71"/>
      <c r="CP13" s="71">
        <f t="shared" si="5"/>
        <v>-10570229.491146557</v>
      </c>
      <c r="CS13" s="50" t="s">
        <v>24</v>
      </c>
      <c r="CT13" s="2">
        <v>0</v>
      </c>
      <c r="CU13" s="71"/>
      <c r="CV13" s="2">
        <v>0</v>
      </c>
      <c r="CW13" s="71"/>
      <c r="CX13" s="2">
        <v>0</v>
      </c>
      <c r="CY13" s="2"/>
      <c r="CZ13" s="2">
        <v>0</v>
      </c>
      <c r="DA13" s="71"/>
      <c r="DB13" s="2">
        <v>-7134479.1845651669</v>
      </c>
      <c r="DC13" s="71"/>
      <c r="DD13" s="2">
        <v>70800.004565167241</v>
      </c>
      <c r="DE13" s="71"/>
      <c r="DF13" s="71">
        <f t="shared" si="6"/>
        <v>-7063679.1799999997</v>
      </c>
      <c r="DI13" s="50" t="s">
        <v>24</v>
      </c>
      <c r="DJ13" s="2">
        <v>0</v>
      </c>
      <c r="DK13" s="71"/>
      <c r="DL13" s="2">
        <v>0</v>
      </c>
      <c r="DM13" s="71"/>
      <c r="DN13" s="2">
        <v>0</v>
      </c>
      <c r="DO13" s="2"/>
      <c r="DP13" s="2">
        <v>0</v>
      </c>
      <c r="DQ13" s="71"/>
      <c r="DR13" s="2">
        <v>-4468985.7421833333</v>
      </c>
      <c r="DS13" s="71"/>
      <c r="DT13" s="2">
        <v>35400</v>
      </c>
      <c r="DU13" s="71"/>
      <c r="DV13" s="71">
        <f t="shared" si="7"/>
        <v>-4433585.7421833333</v>
      </c>
      <c r="DY13" s="50" t="s">
        <v>24</v>
      </c>
      <c r="DZ13" s="61">
        <v>0</v>
      </c>
      <c r="EA13" s="71"/>
      <c r="EB13" s="61">
        <v>0</v>
      </c>
      <c r="EC13" s="71"/>
      <c r="ED13" s="61">
        <v>0</v>
      </c>
      <c r="EE13" s="71"/>
      <c r="EF13" s="61">
        <v>-13797518.915237667</v>
      </c>
      <c r="EG13" s="71"/>
      <c r="EH13" s="61">
        <v>142394.99523766711</v>
      </c>
      <c r="EI13" s="71"/>
      <c r="EJ13" s="71">
        <f t="shared" si="8"/>
        <v>-13655123.92</v>
      </c>
      <c r="EM13" s="50" t="s">
        <v>24</v>
      </c>
      <c r="EN13" s="2">
        <v>0</v>
      </c>
      <c r="EO13" s="48"/>
      <c r="EP13" s="2">
        <v>0</v>
      </c>
      <c r="EQ13" s="48"/>
      <c r="ER13" s="2">
        <v>0</v>
      </c>
      <c r="ES13" s="48"/>
      <c r="ET13" s="2">
        <v>-8797925.6851624474</v>
      </c>
      <c r="EU13" s="48"/>
      <c r="EV13" s="2">
        <v>104362.5</v>
      </c>
      <c r="EW13" s="48"/>
      <c r="EX13" s="48">
        <f t="shared" si="41"/>
        <v>-8693563.1851624474</v>
      </c>
      <c r="FA13" s="50" t="s">
        <v>24</v>
      </c>
      <c r="FB13" s="2">
        <v>0</v>
      </c>
      <c r="FC13" s="48"/>
      <c r="FD13" s="2">
        <v>0</v>
      </c>
      <c r="FE13" s="48"/>
      <c r="FF13" s="2">
        <v>0</v>
      </c>
      <c r="FG13" s="48"/>
      <c r="FH13" s="2">
        <v>-5462996.9248309992</v>
      </c>
      <c r="FI13" s="48"/>
      <c r="FJ13" s="2">
        <v>65452.5</v>
      </c>
      <c r="FK13" s="48"/>
      <c r="FL13" s="48">
        <f t="shared" si="9"/>
        <v>-5397544.4248309992</v>
      </c>
      <c r="FO13" s="50" t="s">
        <v>24</v>
      </c>
      <c r="FP13" s="2">
        <v>0</v>
      </c>
      <c r="FQ13" s="48"/>
      <c r="FR13" s="2">
        <v>0</v>
      </c>
      <c r="FS13" s="48"/>
      <c r="FT13" s="2">
        <v>0</v>
      </c>
      <c r="FU13" s="48"/>
      <c r="FV13" s="2">
        <v>-2692651.96</v>
      </c>
      <c r="FW13" s="48"/>
      <c r="FX13" s="2">
        <v>31665</v>
      </c>
      <c r="FY13" s="48"/>
      <c r="FZ13" s="48">
        <f t="shared" si="10"/>
        <v>-2660986.96</v>
      </c>
      <c r="GC13" s="50" t="s">
        <v>24</v>
      </c>
      <c r="GD13" s="2">
        <v>0</v>
      </c>
      <c r="GE13" s="48"/>
      <c r="GF13" s="2">
        <v>0</v>
      </c>
      <c r="GG13" s="48"/>
      <c r="GH13" s="2">
        <v>0</v>
      </c>
      <c r="GI13" s="48"/>
      <c r="GJ13" s="2">
        <v>-9880448.9109173324</v>
      </c>
      <c r="GK13" s="48"/>
      <c r="GL13" s="2">
        <v>360559.41000000003</v>
      </c>
      <c r="GM13" s="48"/>
      <c r="GN13" s="48">
        <f t="shared" si="11"/>
        <v>-9519889.5009173322</v>
      </c>
      <c r="GQ13" s="50" t="s">
        <v>24</v>
      </c>
      <c r="GR13" s="2">
        <v>0</v>
      </c>
      <c r="GS13" s="48"/>
      <c r="GT13" s="2">
        <v>0</v>
      </c>
      <c r="GU13" s="48"/>
      <c r="GV13" s="2">
        <v>0</v>
      </c>
      <c r="GW13" s="48"/>
      <c r="GX13" s="2">
        <v>-7046596.9466873314</v>
      </c>
      <c r="GY13" s="48"/>
      <c r="GZ13" s="2">
        <v>114366.76999999999</v>
      </c>
      <c r="HA13" s="48"/>
      <c r="HB13" s="48">
        <f t="shared" si="42"/>
        <v>-6932230.1766873319</v>
      </c>
      <c r="HE13" s="50" t="s">
        <v>24</v>
      </c>
      <c r="HF13" s="2">
        <v>0</v>
      </c>
      <c r="HG13" s="48"/>
      <c r="HH13" s="2">
        <v>0</v>
      </c>
      <c r="HI13" s="48"/>
      <c r="HJ13" s="2">
        <v>0</v>
      </c>
      <c r="HK13" s="48"/>
      <c r="HL13" s="53">
        <v>-4422245.078857</v>
      </c>
      <c r="HM13" s="48"/>
      <c r="HN13" s="2">
        <v>142645.8216655</v>
      </c>
      <c r="HO13" s="48"/>
      <c r="HP13" s="48">
        <f t="shared" si="12"/>
        <v>-4279599.2571914997</v>
      </c>
      <c r="HS13" s="50" t="s">
        <v>24</v>
      </c>
      <c r="HT13" s="2">
        <v>0</v>
      </c>
      <c r="HU13" s="48"/>
      <c r="HV13" s="2">
        <v>0</v>
      </c>
      <c r="HW13" s="48"/>
      <c r="HX13" s="2">
        <v>0</v>
      </c>
      <c r="HY13" s="48"/>
      <c r="HZ13" s="2">
        <v>-2063855.77</v>
      </c>
      <c r="IA13" s="48"/>
      <c r="IB13" s="2">
        <v>28879.300000000003</v>
      </c>
      <c r="IC13" s="48"/>
      <c r="ID13" s="48">
        <f t="shared" si="13"/>
        <v>-2034976.47</v>
      </c>
      <c r="IG13" s="50" t="s">
        <v>24</v>
      </c>
      <c r="IH13" s="2">
        <v>0</v>
      </c>
      <c r="II13" s="48"/>
      <c r="IJ13" s="2">
        <v>0</v>
      </c>
      <c r="IK13" s="48"/>
      <c r="IL13" s="2">
        <v>0</v>
      </c>
      <c r="IM13" s="48"/>
      <c r="IN13" s="2">
        <v>-6921290.5999999996</v>
      </c>
      <c r="IO13" s="48"/>
      <c r="IP13" s="2">
        <v>140336.48000000001</v>
      </c>
      <c r="IQ13" s="48"/>
      <c r="IR13" s="48">
        <f t="shared" si="14"/>
        <v>-6780954.1199999992</v>
      </c>
      <c r="IU13" s="50" t="s">
        <v>24</v>
      </c>
      <c r="IV13" s="2">
        <v>0</v>
      </c>
      <c r="IW13" s="48"/>
      <c r="IX13" s="2">
        <v>0</v>
      </c>
      <c r="IY13" s="48"/>
      <c r="IZ13" s="2">
        <v>0</v>
      </c>
      <c r="JA13" s="48"/>
      <c r="JB13" s="2">
        <v>-5141006.13</v>
      </c>
      <c r="JC13" s="48"/>
      <c r="JD13" s="2">
        <v>104318.61</v>
      </c>
      <c r="JE13" s="48"/>
      <c r="JF13" s="48">
        <f t="shared" si="43"/>
        <v>-5036687.5199999996</v>
      </c>
      <c r="JI13" s="50" t="s">
        <v>24</v>
      </c>
      <c r="JJ13" s="2">
        <v>0</v>
      </c>
      <c r="JK13" s="48"/>
      <c r="JL13" s="2">
        <v>0</v>
      </c>
      <c r="JM13" s="48"/>
      <c r="JN13" s="2">
        <v>0</v>
      </c>
      <c r="JO13" s="48"/>
      <c r="JP13" s="2">
        <v>-3516670.95</v>
      </c>
      <c r="JQ13" s="48"/>
      <c r="JR13" s="2">
        <v>67423.240000000005</v>
      </c>
      <c r="JS13" s="48"/>
      <c r="JT13" s="48">
        <f t="shared" si="15"/>
        <v>-3449247.71</v>
      </c>
      <c r="JW13" s="50" t="s">
        <v>24</v>
      </c>
      <c r="JX13" s="2">
        <v>0</v>
      </c>
      <c r="JY13" s="48"/>
      <c r="JZ13" s="2">
        <v>0</v>
      </c>
      <c r="KA13" s="48"/>
      <c r="KB13" s="2">
        <v>0</v>
      </c>
      <c r="KC13" s="48"/>
      <c r="KD13" s="2">
        <v>-1722764.5</v>
      </c>
      <c r="KE13" s="48"/>
      <c r="KF13" s="2">
        <v>38425.370000000003</v>
      </c>
      <c r="KG13" s="48"/>
      <c r="KH13" s="48">
        <f t="shared" si="16"/>
        <v>-1684339.13</v>
      </c>
      <c r="KK13" s="50" t="s">
        <v>24</v>
      </c>
      <c r="KL13" s="2">
        <v>0</v>
      </c>
      <c r="KM13" s="48"/>
      <c r="KN13" s="2">
        <v>0</v>
      </c>
      <c r="KO13" s="48"/>
      <c r="KP13" s="2">
        <v>0</v>
      </c>
      <c r="KQ13" s="48"/>
      <c r="KR13" s="2">
        <v>-6886003.5099999998</v>
      </c>
      <c r="KS13" s="48"/>
      <c r="KT13" s="2">
        <v>166526.48000000001</v>
      </c>
      <c r="KU13" s="48"/>
      <c r="KV13" s="48">
        <f t="shared" si="17"/>
        <v>-6719477.0299999993</v>
      </c>
      <c r="KW13" s="49"/>
      <c r="KX13" s="49"/>
      <c r="KY13" s="50" t="s">
        <v>24</v>
      </c>
      <c r="KZ13" s="2">
        <v>0</v>
      </c>
      <c r="LA13" s="48"/>
      <c r="LB13" s="2">
        <v>0</v>
      </c>
      <c r="LC13" s="48"/>
      <c r="LD13" s="2">
        <v>0</v>
      </c>
      <c r="LE13" s="48"/>
      <c r="LF13" s="2">
        <v>-5150328.9800000004</v>
      </c>
      <c r="LG13" s="48"/>
      <c r="LH13" s="2">
        <v>123173.61</v>
      </c>
      <c r="LI13" s="48"/>
      <c r="LJ13" s="48">
        <f t="shared" si="44"/>
        <v>-5027155.37</v>
      </c>
      <c r="LK13" s="49"/>
      <c r="LL13" s="49"/>
      <c r="LM13" s="50" t="s">
        <v>24</v>
      </c>
      <c r="LN13" s="2">
        <v>0</v>
      </c>
      <c r="LO13" s="48"/>
      <c r="LP13" s="2">
        <v>0</v>
      </c>
      <c r="LQ13" s="48"/>
      <c r="LR13" s="2">
        <v>0</v>
      </c>
      <c r="LS13" s="48"/>
      <c r="LT13" s="2">
        <v>-3726788.5700000003</v>
      </c>
      <c r="LU13" s="48"/>
      <c r="LV13" s="2">
        <v>82993.240000000005</v>
      </c>
      <c r="LW13" s="48"/>
      <c r="LX13" s="48">
        <f t="shared" si="45"/>
        <v>-3643795.33</v>
      </c>
      <c r="LY13" s="49"/>
      <c r="LZ13" s="50" t="s">
        <v>24</v>
      </c>
      <c r="MA13" s="2">
        <v>0</v>
      </c>
      <c r="MB13" s="48"/>
      <c r="MC13" s="2">
        <v>0</v>
      </c>
      <c r="MD13" s="48"/>
      <c r="ME13" s="2">
        <v>0</v>
      </c>
      <c r="MG13" s="2">
        <v>-1889511</v>
      </c>
      <c r="MI13" s="2">
        <v>37660.370000000003</v>
      </c>
      <c r="MK13" s="2">
        <f t="shared" si="18"/>
        <v>-1851850.63</v>
      </c>
      <c r="MM13" s="50" t="s">
        <v>24</v>
      </c>
      <c r="MN13" s="2">
        <v>0</v>
      </c>
      <c r="MO13" s="48"/>
      <c r="MP13" s="2">
        <v>0</v>
      </c>
      <c r="MQ13" s="48"/>
      <c r="MR13" s="2">
        <v>0</v>
      </c>
      <c r="MS13" s="48"/>
      <c r="MT13" s="2">
        <v>-9482750.3600000013</v>
      </c>
      <c r="MU13" s="48"/>
      <c r="MV13" s="2">
        <v>193940.75</v>
      </c>
      <c r="MW13" s="48"/>
      <c r="MX13" s="48">
        <f t="shared" si="19"/>
        <v>-9288809.6100000013</v>
      </c>
      <c r="MY13" s="49"/>
      <c r="MZ13" s="49"/>
      <c r="NA13" s="50" t="s">
        <v>24</v>
      </c>
      <c r="NB13" s="2">
        <v>0</v>
      </c>
      <c r="NC13" s="48"/>
      <c r="ND13" s="2">
        <v>0</v>
      </c>
      <c r="NE13" s="48"/>
      <c r="NF13" s="2">
        <v>0</v>
      </c>
      <c r="NG13" s="48"/>
      <c r="NH13" s="2">
        <v>-6348427.5899999999</v>
      </c>
      <c r="NI13" s="48"/>
      <c r="NJ13" s="2">
        <v>137887.5</v>
      </c>
      <c r="NK13" s="48"/>
      <c r="NL13" s="48">
        <f t="shared" si="46"/>
        <v>-6210540.0899999999</v>
      </c>
      <c r="NM13" s="49"/>
      <c r="NN13" s="49"/>
      <c r="NO13" s="50" t="s">
        <v>24</v>
      </c>
      <c r="NP13" s="2">
        <v>0</v>
      </c>
      <c r="NQ13" s="48"/>
      <c r="NR13" s="2">
        <v>0</v>
      </c>
      <c r="NS13" s="48"/>
      <c r="NT13" s="2">
        <v>0</v>
      </c>
      <c r="NU13" s="48"/>
      <c r="NV13" s="2">
        <v>-4374219.32</v>
      </c>
      <c r="NW13" s="48"/>
      <c r="NX13" s="2">
        <v>54112.5</v>
      </c>
      <c r="NY13" s="48"/>
      <c r="NZ13" s="48">
        <f t="shared" si="47"/>
        <v>-4320106.82</v>
      </c>
      <c r="OA13" s="49"/>
      <c r="OB13" s="50" t="s">
        <v>24</v>
      </c>
      <c r="OC13" s="2">
        <v>0</v>
      </c>
      <c r="OD13" s="48"/>
      <c r="OE13" s="2">
        <v>0</v>
      </c>
      <c r="OF13" s="48"/>
      <c r="OG13" s="55">
        <v>0</v>
      </c>
      <c r="OI13" s="2">
        <v>-2110905.8800000004</v>
      </c>
      <c r="OK13" s="2">
        <v>0</v>
      </c>
      <c r="OM13" s="2">
        <f t="shared" si="20"/>
        <v>-2110905.8800000004</v>
      </c>
      <c r="OO13" s="18" t="s">
        <v>24</v>
      </c>
      <c r="OP13" s="2">
        <v>0</v>
      </c>
      <c r="OQ13" s="2">
        <v>0</v>
      </c>
      <c r="OR13" s="2">
        <v>0</v>
      </c>
      <c r="OT13" s="2">
        <v>0</v>
      </c>
      <c r="OV13" s="2">
        <v>-9737818.1300000008</v>
      </c>
      <c r="OX13" s="2">
        <v>0</v>
      </c>
      <c r="OZ13" s="2">
        <f t="shared" si="21"/>
        <v>-9737818.1300000008</v>
      </c>
      <c r="PA13" s="25"/>
      <c r="PB13" s="18" t="s">
        <v>24</v>
      </c>
      <c r="PC13" s="2">
        <v>0</v>
      </c>
      <c r="PD13" s="2"/>
      <c r="PE13" s="2">
        <v>0</v>
      </c>
      <c r="PG13" s="39">
        <v>0</v>
      </c>
      <c r="PI13" s="2">
        <v>-10503878.579999998</v>
      </c>
      <c r="PK13" s="2">
        <v>43653.129999999976</v>
      </c>
      <c r="PM13" s="2">
        <f t="shared" si="22"/>
        <v>-10460225.449999997</v>
      </c>
      <c r="PN13" s="25"/>
      <c r="PO13" s="51" t="s">
        <v>24</v>
      </c>
      <c r="PP13" s="2">
        <v>0</v>
      </c>
      <c r="PQ13" s="2"/>
      <c r="PR13" s="2">
        <v>0</v>
      </c>
      <c r="PT13" s="39"/>
      <c r="PV13" s="2">
        <v>-8609510.4699999988</v>
      </c>
      <c r="PX13" s="2">
        <v>47480</v>
      </c>
      <c r="PZ13" s="2">
        <f t="shared" si="23"/>
        <v>-8562030.4699999988</v>
      </c>
      <c r="QA13" s="25"/>
      <c r="QB13" s="18" t="s">
        <v>24</v>
      </c>
      <c r="QC13" s="2">
        <v>0</v>
      </c>
      <c r="QD13" s="2"/>
      <c r="QE13" s="2">
        <v>0</v>
      </c>
      <c r="QG13" s="39"/>
      <c r="QI13" s="2">
        <v>-6920386.2199999997</v>
      </c>
      <c r="QK13" s="2">
        <v>87990.8</v>
      </c>
      <c r="QM13" s="2">
        <f t="shared" si="24"/>
        <v>-6832395.4199999999</v>
      </c>
      <c r="QN13" s="25"/>
      <c r="QO13" s="18" t="s">
        <v>24</v>
      </c>
      <c r="QP13" s="2">
        <v>0</v>
      </c>
      <c r="QQ13" s="2"/>
      <c r="QR13" s="2">
        <v>0</v>
      </c>
      <c r="QT13" s="2">
        <v>0</v>
      </c>
      <c r="QV13" s="2">
        <v>-5065645.01</v>
      </c>
      <c r="QX13" s="2">
        <v>66090.8</v>
      </c>
      <c r="QZ13" s="2">
        <f t="shared" si="25"/>
        <v>-4999554.21</v>
      </c>
      <c r="RA13" s="25"/>
      <c r="RB13" s="18" t="s">
        <v>24</v>
      </c>
      <c r="RC13" s="2"/>
      <c r="RD13" s="2"/>
      <c r="RI13" s="2">
        <v>-3561416.86</v>
      </c>
      <c r="RK13" s="2">
        <v>44190.8</v>
      </c>
      <c r="RM13" s="2">
        <f t="shared" si="26"/>
        <v>-3517226.06</v>
      </c>
      <c r="RN13" s="25"/>
      <c r="RO13" s="18" t="s">
        <v>24</v>
      </c>
      <c r="RP13" s="2"/>
      <c r="RQ13" s="2"/>
      <c r="RV13" s="2">
        <v>-1745142.86</v>
      </c>
      <c r="RX13" s="2">
        <v>22104</v>
      </c>
      <c r="RZ13" s="2">
        <f t="shared" si="27"/>
        <v>-1723038.86</v>
      </c>
      <c r="SA13" s="25"/>
      <c r="SB13" s="18" t="s">
        <v>24</v>
      </c>
      <c r="SC13" s="2"/>
      <c r="SD13" s="2"/>
      <c r="SI13" s="2">
        <v>-7078555.9199999999</v>
      </c>
      <c r="SK13" s="2">
        <v>89495.16</v>
      </c>
      <c r="SM13" s="2">
        <f t="shared" si="28"/>
        <v>-6989060.7599999998</v>
      </c>
      <c r="SN13" s="25"/>
      <c r="SO13" s="18" t="s">
        <v>24</v>
      </c>
      <c r="SP13" s="2"/>
      <c r="SQ13" s="2"/>
      <c r="SV13" s="2">
        <v>-5465297.79</v>
      </c>
      <c r="SX13" s="2">
        <v>66053.56</v>
      </c>
      <c r="SZ13" s="2">
        <f t="shared" si="29"/>
        <v>-5399244.2300000004</v>
      </c>
      <c r="TA13" s="25"/>
      <c r="TB13" s="18" t="s">
        <v>24</v>
      </c>
      <c r="TC13" s="2"/>
      <c r="TD13" s="2"/>
      <c r="TI13" s="2">
        <v>-3516750.9</v>
      </c>
      <c r="TK13" s="2">
        <v>43949.56</v>
      </c>
      <c r="TM13" s="2">
        <f t="shared" si="30"/>
        <v>-3472801.34</v>
      </c>
      <c r="TN13" s="25"/>
      <c r="TO13" s="18" t="s">
        <v>24</v>
      </c>
      <c r="TP13" s="2"/>
      <c r="TQ13" s="2"/>
      <c r="TV13" s="2">
        <v>-1530594.67</v>
      </c>
      <c r="TX13" s="2">
        <v>22414.44</v>
      </c>
      <c r="TZ13" s="2">
        <f t="shared" si="31"/>
        <v>-1508180.23</v>
      </c>
      <c r="UA13" s="25"/>
      <c r="UB13" s="18" t="s">
        <v>24</v>
      </c>
      <c r="UC13" s="2"/>
      <c r="UD13" s="2"/>
      <c r="UI13" s="2">
        <v>-6474369.2999999998</v>
      </c>
      <c r="UK13" s="2">
        <v>89271.700000000201</v>
      </c>
      <c r="UM13" s="2">
        <f t="shared" si="32"/>
        <v>-6385097.5999999996</v>
      </c>
      <c r="UN13" s="25"/>
      <c r="UO13" s="18" t="s">
        <v>24</v>
      </c>
      <c r="UP13" s="2"/>
      <c r="UQ13" s="2"/>
      <c r="UR13" s="2">
        <v>0</v>
      </c>
      <c r="UT13" s="2">
        <v>0</v>
      </c>
      <c r="UV13" s="2">
        <v>-4913829.3</v>
      </c>
      <c r="UX13" s="2">
        <v>67322.740000000005</v>
      </c>
      <c r="UZ13" s="2">
        <f t="shared" si="33"/>
        <v>-4846506.5599999996</v>
      </c>
      <c r="VA13" s="25"/>
      <c r="VB13" s="25" t="s">
        <v>24</v>
      </c>
      <c r="VC13" s="2">
        <v>0</v>
      </c>
      <c r="VD13" s="2"/>
      <c r="VE13" s="2">
        <v>0</v>
      </c>
      <c r="VG13" s="2">
        <v>0</v>
      </c>
      <c r="VI13" s="2">
        <v>-3245308.12</v>
      </c>
      <c r="VK13" s="2">
        <v>45005.42</v>
      </c>
      <c r="VM13" s="2">
        <v>-3200302.7</v>
      </c>
      <c r="VN13" s="25"/>
      <c r="VO13" s="25" t="s">
        <v>24</v>
      </c>
      <c r="VP13" s="2">
        <v>0</v>
      </c>
      <c r="VQ13" s="2"/>
      <c r="VR13" s="2">
        <v>0</v>
      </c>
      <c r="VT13" s="2">
        <v>0</v>
      </c>
      <c r="VV13" s="2">
        <f>-1607.25286*1000</f>
        <v>-1607252.86</v>
      </c>
      <c r="VX13" s="2">
        <f>22.53979*1000</f>
        <v>22539.79</v>
      </c>
      <c r="VZ13" s="2">
        <f>-1584.71307*1000</f>
        <v>-1584713.07</v>
      </c>
      <c r="WA13" s="25"/>
      <c r="WB13" s="19" t="s">
        <v>24</v>
      </c>
      <c r="WC13" s="2">
        <v>0</v>
      </c>
      <c r="WD13" s="2"/>
      <c r="WE13" s="2">
        <v>0</v>
      </c>
      <c r="WG13" s="2">
        <v>0</v>
      </c>
      <c r="WI13" s="2">
        <v>-6382737.8600000003</v>
      </c>
      <c r="WK13" s="2">
        <v>15888.27</v>
      </c>
      <c r="WM13" s="2">
        <f t="shared" si="34"/>
        <v>-6366849.5900000008</v>
      </c>
      <c r="WN13" s="25"/>
      <c r="WO13" s="19" t="s">
        <v>24</v>
      </c>
      <c r="WP13" s="2"/>
      <c r="WQ13" s="2"/>
      <c r="WV13" s="2">
        <f>-3165.6171*1000-991050.6</f>
        <v>-4156667.7</v>
      </c>
      <c r="WX13" s="2">
        <f>4.9575*1000</f>
        <v>4957.5</v>
      </c>
      <c r="WZ13" s="2">
        <f t="shared" si="35"/>
        <v>-4151710.2</v>
      </c>
      <c r="XA13" s="25"/>
      <c r="XB13" s="25" t="s">
        <v>24</v>
      </c>
      <c r="XC13" s="2">
        <v>0</v>
      </c>
      <c r="XD13" s="2"/>
      <c r="XE13" s="2">
        <v>0</v>
      </c>
      <c r="XF13" s="2">
        <v>0</v>
      </c>
      <c r="XG13" s="2">
        <v>0</v>
      </c>
      <c r="XH13" s="2">
        <v>0</v>
      </c>
      <c r="XI13" s="2">
        <v>-2977438.99</v>
      </c>
      <c r="XJ13" s="2">
        <v>0</v>
      </c>
      <c r="XK13" s="2">
        <v>3305.00000000008</v>
      </c>
      <c r="XM13" s="2">
        <v>2974133.9900000012</v>
      </c>
      <c r="XN13" s="2"/>
      <c r="XO13" s="25" t="s">
        <v>24</v>
      </c>
      <c r="XP13" s="2">
        <v>0</v>
      </c>
      <c r="XQ13" s="2"/>
      <c r="XR13" s="2">
        <v>0</v>
      </c>
      <c r="XT13" s="2">
        <v>0</v>
      </c>
      <c r="XV13" s="2">
        <f>-1300.26665*1000</f>
        <v>-1300266.6500000001</v>
      </c>
      <c r="XX13" s="2">
        <f>1.653*1000</f>
        <v>1653</v>
      </c>
      <c r="XZ13" s="2">
        <f>-1298.61365*1000</f>
        <v>-1298613.6499999999</v>
      </c>
      <c r="YA13" s="2"/>
      <c r="YB13" s="25" t="s">
        <v>24</v>
      </c>
      <c r="YC13" s="2">
        <v>0</v>
      </c>
      <c r="YD13" s="2"/>
      <c r="YE13" s="2">
        <v>0</v>
      </c>
      <c r="YG13" s="2">
        <v>0</v>
      </c>
      <c r="YI13" s="2">
        <v>-6251593.9179722704</v>
      </c>
      <c r="YK13" s="2">
        <v>0</v>
      </c>
      <c r="YM13" s="2">
        <f t="shared" si="36"/>
        <v>-6251593.9179722704</v>
      </c>
      <c r="YN13" s="2"/>
      <c r="YO13" s="19" t="s">
        <v>24</v>
      </c>
      <c r="YP13" s="2"/>
      <c r="YQ13" s="2"/>
      <c r="YV13" s="2">
        <f>-3996.96228694099*1000+9439.51</f>
        <v>-3987522.7769409902</v>
      </c>
      <c r="YX13" s="2">
        <f>14.1362000000002*1000</f>
        <v>14136.200000000199</v>
      </c>
      <c r="YZ13" s="2">
        <f t="shared" si="37"/>
        <v>-3973386.5769409901</v>
      </c>
    </row>
    <row r="14" spans="1:676">
      <c r="A14" s="50" t="s">
        <v>98</v>
      </c>
      <c r="B14" s="2">
        <v>0</v>
      </c>
      <c r="C14" s="71"/>
      <c r="D14" s="2">
        <v>0</v>
      </c>
      <c r="E14" s="71"/>
      <c r="F14" s="2">
        <v>-3328138.71</v>
      </c>
      <c r="G14" s="71"/>
      <c r="H14" s="2">
        <v>-28262796.960000001</v>
      </c>
      <c r="I14" s="71"/>
      <c r="J14" s="2">
        <v>0</v>
      </c>
      <c r="K14" s="71"/>
      <c r="L14" s="2">
        <v>0</v>
      </c>
      <c r="M14" s="71"/>
      <c r="N14" s="71">
        <f t="shared" si="38"/>
        <v>-31590935.670000002</v>
      </c>
      <c r="Q14" s="50" t="s">
        <v>98</v>
      </c>
      <c r="R14" s="2">
        <v>0</v>
      </c>
      <c r="S14" s="71"/>
      <c r="T14" s="2">
        <v>0</v>
      </c>
      <c r="U14" s="71"/>
      <c r="V14" s="2">
        <v>-2733208.3652969375</v>
      </c>
      <c r="W14" s="2"/>
      <c r="X14" s="2">
        <v>-17660645.574703064</v>
      </c>
      <c r="Y14" s="71"/>
      <c r="Z14" s="2">
        <v>0</v>
      </c>
      <c r="AA14" s="71"/>
      <c r="AB14" s="2">
        <v>0</v>
      </c>
      <c r="AC14" s="71"/>
      <c r="AD14" s="71">
        <f t="shared" si="39"/>
        <v>-20393853.940000001</v>
      </c>
      <c r="AG14" s="50" t="s">
        <v>98</v>
      </c>
      <c r="AH14" s="2">
        <v>0</v>
      </c>
      <c r="AI14" s="71"/>
      <c r="AJ14" s="2">
        <v>0</v>
      </c>
      <c r="AK14" s="71"/>
      <c r="AL14" s="2">
        <v>-1665756.4302969333</v>
      </c>
      <c r="AM14" s="2"/>
      <c r="AN14" s="2">
        <v>-9438722.3797030672</v>
      </c>
      <c r="AO14" s="71"/>
      <c r="AP14" s="2">
        <v>0</v>
      </c>
      <c r="AQ14" s="71"/>
      <c r="AR14" s="2">
        <v>0</v>
      </c>
      <c r="AS14" s="71"/>
      <c r="AT14" s="71">
        <f t="shared" si="40"/>
        <v>-11104478.810000001</v>
      </c>
      <c r="AW14" s="50" t="s">
        <v>98</v>
      </c>
      <c r="AX14" s="2">
        <v>0</v>
      </c>
      <c r="AY14" s="70"/>
      <c r="AZ14" s="2">
        <v>0</v>
      </c>
      <c r="BA14" s="61"/>
      <c r="BB14" s="2">
        <v>-706817.78538388852</v>
      </c>
      <c r="BC14" s="2"/>
      <c r="BD14" s="2">
        <v>-4206326.7646161113</v>
      </c>
      <c r="BE14" s="61"/>
      <c r="BF14" s="2">
        <v>0</v>
      </c>
      <c r="BG14" s="61"/>
      <c r="BH14" s="2">
        <v>0</v>
      </c>
      <c r="BI14" s="71"/>
      <c r="BJ14" s="71">
        <f t="shared" si="3"/>
        <v>-4913144.55</v>
      </c>
      <c r="BM14" s="50" t="s">
        <v>98</v>
      </c>
      <c r="BN14" s="2">
        <v>0</v>
      </c>
      <c r="BO14" s="71"/>
      <c r="BP14" s="2">
        <v>0</v>
      </c>
      <c r="BQ14" s="71"/>
      <c r="BR14" s="2">
        <v>-3367675.0300000012</v>
      </c>
      <c r="BS14" s="71"/>
      <c r="BT14" s="2">
        <v>-19918154.629999999</v>
      </c>
      <c r="BU14" s="71"/>
      <c r="BV14" s="2">
        <v>0</v>
      </c>
      <c r="BW14" s="71"/>
      <c r="BX14" s="2">
        <v>0</v>
      </c>
      <c r="BY14" s="71"/>
      <c r="BZ14" s="71">
        <f t="shared" si="4"/>
        <v>-23285829.66</v>
      </c>
      <c r="CC14" s="50" t="s">
        <v>98</v>
      </c>
      <c r="CD14" s="2">
        <v>0</v>
      </c>
      <c r="CE14" s="71"/>
      <c r="CF14" s="2">
        <v>0</v>
      </c>
      <c r="CG14" s="71"/>
      <c r="CH14" s="2">
        <v>-2437305.4050000384</v>
      </c>
      <c r="CI14" s="2"/>
      <c r="CJ14" s="2">
        <v>-14942095.454999961</v>
      </c>
      <c r="CK14" s="71"/>
      <c r="CL14" s="2">
        <v>0</v>
      </c>
      <c r="CM14" s="71"/>
      <c r="CN14" s="2">
        <v>0</v>
      </c>
      <c r="CO14" s="71"/>
      <c r="CP14" s="71">
        <f t="shared" si="5"/>
        <v>-17379400.859999999</v>
      </c>
      <c r="CS14" s="50" t="s">
        <v>98</v>
      </c>
      <c r="CT14" s="2">
        <v>0</v>
      </c>
      <c r="CU14" s="71"/>
      <c r="CV14" s="2">
        <v>0</v>
      </c>
      <c r="CW14" s="71"/>
      <c r="CX14" s="2">
        <v>-1508675.8550000004</v>
      </c>
      <c r="CY14" s="2"/>
      <c r="CZ14" s="2">
        <v>-7801057.4249999989</v>
      </c>
      <c r="DA14" s="71"/>
      <c r="DB14" s="2">
        <v>0</v>
      </c>
      <c r="DC14" s="71"/>
      <c r="DD14" s="2">
        <v>0</v>
      </c>
      <c r="DE14" s="71"/>
      <c r="DF14" s="71">
        <f t="shared" si="6"/>
        <v>-9309733.2799999993</v>
      </c>
      <c r="DI14" s="50" t="s">
        <v>98</v>
      </c>
      <c r="DJ14" s="2">
        <v>0</v>
      </c>
      <c r="DK14" s="71"/>
      <c r="DL14" s="2">
        <v>0</v>
      </c>
      <c r="DM14" s="71"/>
      <c r="DN14" s="2">
        <v>-684760.10749999899</v>
      </c>
      <c r="DO14" s="2"/>
      <c r="DP14" s="2">
        <v>-3423846.4425000008</v>
      </c>
      <c r="DQ14" s="71"/>
      <c r="DR14" s="2">
        <v>0</v>
      </c>
      <c r="DS14" s="71"/>
      <c r="DT14" s="2">
        <v>0</v>
      </c>
      <c r="DU14" s="71"/>
      <c r="DV14" s="71">
        <f t="shared" si="7"/>
        <v>-4108606.55</v>
      </c>
      <c r="DY14" s="50" t="s">
        <v>98</v>
      </c>
      <c r="DZ14" s="61">
        <v>0</v>
      </c>
      <c r="EA14" s="71"/>
      <c r="EB14" s="61">
        <v>0</v>
      </c>
      <c r="EC14" s="71"/>
      <c r="ED14" s="61">
        <v>-16507883.68</v>
      </c>
      <c r="EE14" s="71"/>
      <c r="EF14" s="61">
        <v>0</v>
      </c>
      <c r="EG14" s="71"/>
      <c r="EH14" s="61">
        <v>526000</v>
      </c>
      <c r="EI14" s="71"/>
      <c r="EJ14" s="71">
        <f t="shared" si="8"/>
        <v>-15981883.68</v>
      </c>
      <c r="EM14" s="50" t="s">
        <v>98</v>
      </c>
      <c r="EN14" s="2">
        <v>0</v>
      </c>
      <c r="EO14" s="48"/>
      <c r="EP14" s="2">
        <v>0</v>
      </c>
      <c r="EQ14" s="48"/>
      <c r="ER14" s="2">
        <v>-11194005.91</v>
      </c>
      <c r="ES14" s="48"/>
      <c r="ET14" s="2">
        <v>0</v>
      </c>
      <c r="EU14" s="48"/>
      <c r="EV14" s="2">
        <v>526000</v>
      </c>
      <c r="EW14" s="48"/>
      <c r="EX14" s="48">
        <f t="shared" si="41"/>
        <v>-10668005.91</v>
      </c>
      <c r="FA14" s="50" t="s">
        <v>98</v>
      </c>
      <c r="FB14" s="2">
        <v>0</v>
      </c>
      <c r="FC14" s="48"/>
      <c r="FD14" s="2">
        <v>0</v>
      </c>
      <c r="FE14" s="48"/>
      <c r="FF14" s="2">
        <v>-6226171.3600000003</v>
      </c>
      <c r="FG14" s="48"/>
      <c r="FH14" s="2">
        <v>0</v>
      </c>
      <c r="FI14" s="48"/>
      <c r="FJ14" s="2">
        <v>0</v>
      </c>
      <c r="FK14" s="48"/>
      <c r="FL14" s="48">
        <f t="shared" si="9"/>
        <v>-6226171.3600000003</v>
      </c>
      <c r="FO14" s="50" t="s">
        <v>98</v>
      </c>
      <c r="FP14" s="2">
        <v>0</v>
      </c>
      <c r="FQ14" s="48"/>
      <c r="FR14" s="2">
        <v>0</v>
      </c>
      <c r="FS14" s="48"/>
      <c r="FT14" s="2">
        <v>-2250155.8400000003</v>
      </c>
      <c r="FU14" s="48"/>
      <c r="FV14" s="2">
        <v>0</v>
      </c>
      <c r="FW14" s="48"/>
      <c r="FX14" s="2">
        <v>0</v>
      </c>
      <c r="FY14" s="48"/>
      <c r="FZ14" s="48">
        <f t="shared" si="10"/>
        <v>-2250155.8400000003</v>
      </c>
      <c r="GC14" s="50" t="s">
        <v>98</v>
      </c>
      <c r="GD14" s="2">
        <v>0</v>
      </c>
      <c r="GE14" s="48"/>
      <c r="GF14" s="2">
        <v>0</v>
      </c>
      <c r="GG14" s="48"/>
      <c r="GH14" s="2">
        <v>-10286757.859999999</v>
      </c>
      <c r="GI14" s="48"/>
      <c r="GJ14" s="2">
        <v>0</v>
      </c>
      <c r="GK14" s="48"/>
      <c r="GL14" s="2">
        <v>64093.799999999996</v>
      </c>
      <c r="GM14" s="48"/>
      <c r="GN14" s="48">
        <f t="shared" si="11"/>
        <v>-10222664.059999999</v>
      </c>
      <c r="GQ14" s="50" t="s">
        <v>98</v>
      </c>
      <c r="GR14" s="2">
        <v>0</v>
      </c>
      <c r="GS14" s="48"/>
      <c r="GT14" s="2">
        <v>0</v>
      </c>
      <c r="GU14" s="48"/>
      <c r="GV14" s="2">
        <v>-5986578.4500000002</v>
      </c>
      <c r="GW14" s="48"/>
      <c r="GX14" s="2">
        <v>0</v>
      </c>
      <c r="GY14" s="48"/>
      <c r="GZ14" s="2">
        <v>82451.289999999994</v>
      </c>
      <c r="HA14" s="48"/>
      <c r="HB14" s="48">
        <f t="shared" si="42"/>
        <v>-5904127.1600000001</v>
      </c>
      <c r="HE14" s="50" t="s">
        <v>98</v>
      </c>
      <c r="HF14" s="2">
        <v>0</v>
      </c>
      <c r="HG14" s="48"/>
      <c r="HH14" s="2">
        <v>0</v>
      </c>
      <c r="HI14" s="48"/>
      <c r="HJ14" s="2">
        <v>-3820453.9999999995</v>
      </c>
      <c r="HK14" s="48"/>
      <c r="HL14" s="53">
        <v>0</v>
      </c>
      <c r="HM14" s="48"/>
      <c r="HN14" s="2">
        <v>50740.92</v>
      </c>
      <c r="HO14" s="48"/>
      <c r="HP14" s="48">
        <f t="shared" si="12"/>
        <v>-3769713.0799999996</v>
      </c>
      <c r="HS14" s="50" t="s">
        <v>98</v>
      </c>
      <c r="HT14" s="2">
        <v>0</v>
      </c>
      <c r="HU14" s="48"/>
      <c r="HV14" s="2">
        <v>0</v>
      </c>
      <c r="HW14" s="48"/>
      <c r="HX14" s="2">
        <v>-1836818.2000000002</v>
      </c>
      <c r="HY14" s="48"/>
      <c r="HZ14" s="2">
        <v>0</v>
      </c>
      <c r="IA14" s="48"/>
      <c r="IB14" s="2">
        <v>25370.46</v>
      </c>
      <c r="IC14" s="48"/>
      <c r="ID14" s="48">
        <f t="shared" si="13"/>
        <v>-1811447.7400000002</v>
      </c>
      <c r="IG14" s="50" t="s">
        <v>98</v>
      </c>
      <c r="IH14" s="2">
        <v>0</v>
      </c>
      <c r="II14" s="48"/>
      <c r="IJ14" s="2">
        <v>0</v>
      </c>
      <c r="IK14" s="48"/>
      <c r="IL14" s="2">
        <v>-6243825.6000000006</v>
      </c>
      <c r="IM14" s="48"/>
      <c r="IN14" s="2">
        <v>0</v>
      </c>
      <c r="IO14" s="48"/>
      <c r="IP14" s="2">
        <v>101481.84</v>
      </c>
      <c r="IQ14" s="48"/>
      <c r="IR14" s="48">
        <f t="shared" si="14"/>
        <v>-6142343.7600000007</v>
      </c>
      <c r="IU14" s="50" t="s">
        <v>98</v>
      </c>
      <c r="IV14" s="2">
        <v>0</v>
      </c>
      <c r="IW14" s="48"/>
      <c r="IX14" s="2">
        <v>0</v>
      </c>
      <c r="IY14" s="48"/>
      <c r="IZ14" s="2">
        <v>-4934371.26</v>
      </c>
      <c r="JA14" s="48"/>
      <c r="JB14" s="2">
        <v>0</v>
      </c>
      <c r="JC14" s="48"/>
      <c r="JD14" s="2">
        <v>76111.38</v>
      </c>
      <c r="JE14" s="48"/>
      <c r="JF14" s="48">
        <f t="shared" si="43"/>
        <v>-4858259.88</v>
      </c>
      <c r="JI14" s="50" t="s">
        <v>98</v>
      </c>
      <c r="JJ14" s="2">
        <v>0</v>
      </c>
      <c r="JK14" s="48"/>
      <c r="JL14" s="2">
        <v>0</v>
      </c>
      <c r="JM14" s="48"/>
      <c r="JN14" s="2">
        <v>-2570461.3199999998</v>
      </c>
      <c r="JO14" s="48"/>
      <c r="JP14" s="2">
        <v>0</v>
      </c>
      <c r="JQ14" s="48"/>
      <c r="JR14" s="2">
        <v>50740.92</v>
      </c>
      <c r="JS14" s="48"/>
      <c r="JT14" s="48">
        <f t="shared" si="15"/>
        <v>-2519720.4</v>
      </c>
      <c r="JW14" s="50" t="s">
        <v>98</v>
      </c>
      <c r="JX14" s="2">
        <v>0</v>
      </c>
      <c r="JY14" s="48"/>
      <c r="JZ14" s="2">
        <v>0</v>
      </c>
      <c r="KA14" s="48"/>
      <c r="KB14" s="2">
        <v>-1185805.8400000001</v>
      </c>
      <c r="KC14" s="48"/>
      <c r="KD14" s="2">
        <v>0</v>
      </c>
      <c r="KE14" s="48"/>
      <c r="KF14" s="2">
        <v>25370.46</v>
      </c>
      <c r="KG14" s="48"/>
      <c r="KH14" s="48">
        <f t="shared" si="16"/>
        <v>-1160435.3800000001</v>
      </c>
      <c r="KK14" s="50" t="s">
        <v>98</v>
      </c>
      <c r="KL14" s="2">
        <v>0</v>
      </c>
      <c r="KM14" s="48"/>
      <c r="KN14" s="2">
        <v>0</v>
      </c>
      <c r="KO14" s="48"/>
      <c r="KP14" s="2">
        <v>-5321546.6399999997</v>
      </c>
      <c r="KQ14" s="48"/>
      <c r="KR14" s="2">
        <v>0</v>
      </c>
      <c r="KS14" s="48"/>
      <c r="KT14" s="2">
        <v>101481.84</v>
      </c>
      <c r="KU14" s="48"/>
      <c r="KV14" s="48">
        <f t="shared" si="17"/>
        <v>-5220064.8</v>
      </c>
      <c r="KW14" s="49"/>
      <c r="KX14" s="49"/>
      <c r="KY14" s="50" t="s">
        <v>98</v>
      </c>
      <c r="KZ14" s="2">
        <v>0</v>
      </c>
      <c r="LA14" s="48"/>
      <c r="LB14" s="2">
        <v>0</v>
      </c>
      <c r="LC14" s="48"/>
      <c r="LD14" s="2">
        <v>-4204283.4800000004</v>
      </c>
      <c r="LE14" s="48"/>
      <c r="LF14" s="2">
        <v>0</v>
      </c>
      <c r="LG14" s="48"/>
      <c r="LH14" s="2">
        <v>76111.38</v>
      </c>
      <c r="LI14" s="48"/>
      <c r="LJ14" s="48">
        <f t="shared" si="44"/>
        <v>-4128172.1000000006</v>
      </c>
      <c r="LK14" s="49"/>
      <c r="LL14" s="49"/>
      <c r="LM14" s="50" t="s">
        <v>98</v>
      </c>
      <c r="LN14" s="2">
        <v>0</v>
      </c>
      <c r="LO14" s="48"/>
      <c r="LP14" s="2">
        <v>0</v>
      </c>
      <c r="LQ14" s="48"/>
      <c r="LR14" s="2">
        <v>-2764920.2800000003</v>
      </c>
      <c r="LS14" s="48"/>
      <c r="LT14" s="2">
        <v>0</v>
      </c>
      <c r="LU14" s="48"/>
      <c r="LV14" s="2">
        <v>50740.92</v>
      </c>
      <c r="LW14" s="48"/>
      <c r="LX14" s="48">
        <f t="shared" si="45"/>
        <v>-2714179.3600000003</v>
      </c>
      <c r="LY14" s="49"/>
      <c r="LZ14" s="50" t="s">
        <v>98</v>
      </c>
      <c r="MA14" s="2">
        <v>0</v>
      </c>
      <c r="MB14" s="48"/>
      <c r="MC14" s="2">
        <v>0</v>
      </c>
      <c r="MD14" s="48"/>
      <c r="ME14" s="2">
        <v>-1415913.57</v>
      </c>
      <c r="MG14" s="2">
        <v>0</v>
      </c>
      <c r="MI14" s="2">
        <v>25370.46</v>
      </c>
      <c r="MK14" s="2">
        <f t="shared" si="18"/>
        <v>-1390543.11</v>
      </c>
      <c r="MM14" s="50" t="s">
        <v>98</v>
      </c>
      <c r="MN14" s="2">
        <v>0</v>
      </c>
      <c r="MO14" s="48"/>
      <c r="MP14" s="2">
        <v>0</v>
      </c>
      <c r="MQ14" s="48"/>
      <c r="MR14" s="2">
        <v>-7162455.6499999994</v>
      </c>
      <c r="MS14" s="48"/>
      <c r="MT14" s="2">
        <v>0</v>
      </c>
      <c r="MU14" s="48"/>
      <c r="MV14" s="2">
        <v>105360</v>
      </c>
      <c r="MW14" s="48"/>
      <c r="MX14" s="48">
        <f t="shared" si="19"/>
        <v>-7057095.6499999994</v>
      </c>
      <c r="MY14" s="49"/>
      <c r="MZ14" s="49"/>
      <c r="NA14" s="50" t="s">
        <v>98</v>
      </c>
      <c r="NB14" s="2">
        <v>0</v>
      </c>
      <c r="NC14" s="48"/>
      <c r="ND14" s="2">
        <v>0</v>
      </c>
      <c r="NE14" s="48"/>
      <c r="NF14" s="2">
        <v>-5754251.1600000001</v>
      </c>
      <c r="NG14" s="48"/>
      <c r="NH14" s="2">
        <v>0</v>
      </c>
      <c r="NI14" s="48"/>
      <c r="NJ14" s="2">
        <v>79020</v>
      </c>
      <c r="NK14" s="48"/>
      <c r="NL14" s="48">
        <f t="shared" si="46"/>
        <v>-5675231.1600000001</v>
      </c>
      <c r="NM14" s="49"/>
      <c r="NN14" s="49"/>
      <c r="NO14" s="50" t="s">
        <v>98</v>
      </c>
      <c r="NP14" s="2">
        <v>0</v>
      </c>
      <c r="NQ14" s="48"/>
      <c r="NR14" s="2">
        <v>0</v>
      </c>
      <c r="NS14" s="48"/>
      <c r="NT14" s="2">
        <v>-4529765.25</v>
      </c>
      <c r="NU14" s="48"/>
      <c r="NV14" s="2">
        <v>0</v>
      </c>
      <c r="NW14" s="48"/>
      <c r="NX14" s="2">
        <v>52680</v>
      </c>
      <c r="NY14" s="48"/>
      <c r="NZ14" s="48">
        <f t="shared" si="47"/>
        <v>-4477085.25</v>
      </c>
      <c r="OA14" s="49"/>
      <c r="OB14" s="50" t="s">
        <v>98</v>
      </c>
      <c r="OC14" s="2"/>
      <c r="OD14" s="48"/>
      <c r="OF14" s="48"/>
      <c r="OG14" s="55">
        <v>-1543178.23</v>
      </c>
      <c r="OI14" s="2">
        <v>0</v>
      </c>
      <c r="OK14" s="2">
        <v>26340</v>
      </c>
      <c r="OM14" s="2">
        <f t="shared" si="20"/>
        <v>-1516838.23</v>
      </c>
      <c r="OO14" s="50" t="s">
        <v>98</v>
      </c>
      <c r="OP14" s="2">
        <v>0</v>
      </c>
      <c r="OQ14" s="2"/>
      <c r="OR14" s="2">
        <v>0</v>
      </c>
      <c r="OT14" s="2">
        <v>-13682528.560000001</v>
      </c>
      <c r="OV14" s="2">
        <v>0</v>
      </c>
      <c r="OX14" s="2">
        <v>494380</v>
      </c>
      <c r="OZ14" s="2">
        <f t="shared" si="21"/>
        <v>-13188148.560000001</v>
      </c>
      <c r="PA14" s="25"/>
      <c r="PB14" s="18"/>
      <c r="PC14" s="2"/>
      <c r="PD14" s="2"/>
      <c r="PG14" s="39"/>
      <c r="PN14" s="25"/>
      <c r="PO14" s="51"/>
      <c r="PP14" s="2"/>
      <c r="PQ14" s="2"/>
      <c r="PT14" s="39"/>
      <c r="QA14" s="25"/>
      <c r="QB14" s="18"/>
      <c r="QC14" s="2"/>
      <c r="QD14" s="2"/>
      <c r="QG14" s="39"/>
      <c r="QN14" s="25"/>
      <c r="QO14" s="18"/>
      <c r="QP14" s="2"/>
      <c r="QQ14" s="2"/>
      <c r="RA14" s="25"/>
      <c r="RB14" s="18"/>
      <c r="RC14" s="2"/>
      <c r="RD14" s="2"/>
      <c r="RN14" s="25"/>
      <c r="RO14" s="18"/>
      <c r="RP14" s="2"/>
      <c r="RQ14" s="2"/>
      <c r="SA14" s="25"/>
      <c r="SB14" s="18"/>
      <c r="SC14" s="2"/>
      <c r="SD14" s="2"/>
      <c r="SN14" s="25"/>
      <c r="SO14" s="18"/>
      <c r="SP14" s="2"/>
      <c r="SQ14" s="2"/>
      <c r="TA14" s="25"/>
      <c r="TB14" s="18"/>
      <c r="TC14" s="2"/>
      <c r="TD14" s="2"/>
      <c r="TN14" s="25"/>
      <c r="TO14" s="18"/>
      <c r="TP14" s="2"/>
      <c r="TQ14" s="2"/>
      <c r="UA14" s="25"/>
      <c r="UB14" s="18"/>
      <c r="UC14" s="2"/>
      <c r="UD14" s="2"/>
      <c r="UN14" s="25"/>
      <c r="UO14" s="18"/>
      <c r="UP14" s="2"/>
      <c r="UQ14" s="2"/>
      <c r="VA14" s="25"/>
      <c r="VB14" s="25"/>
      <c r="VC14" s="2"/>
      <c r="VD14" s="2"/>
      <c r="VN14" s="25"/>
      <c r="VO14" s="25"/>
      <c r="VP14" s="2"/>
      <c r="VQ14" s="2"/>
      <c r="WA14" s="25"/>
      <c r="WB14" s="19"/>
      <c r="WC14" s="2"/>
      <c r="WD14" s="2"/>
      <c r="WN14" s="25"/>
      <c r="WO14" s="19"/>
      <c r="WP14" s="2"/>
      <c r="WQ14" s="2"/>
      <c r="XA14" s="25"/>
      <c r="XB14" s="25"/>
      <c r="XC14" s="2"/>
      <c r="XD14" s="2"/>
      <c r="XN14" s="2"/>
      <c r="XO14" s="25"/>
      <c r="XP14" s="2"/>
      <c r="XQ14" s="2"/>
      <c r="YA14" s="2"/>
      <c r="YB14" s="25"/>
      <c r="YC14" s="2"/>
      <c r="YD14" s="2"/>
      <c r="YN14" s="2"/>
      <c r="YO14" s="19"/>
      <c r="YP14" s="2"/>
      <c r="YQ14" s="2"/>
    </row>
    <row r="15" spans="1:676">
      <c r="A15" s="50" t="s">
        <v>91</v>
      </c>
      <c r="B15" s="61">
        <v>0</v>
      </c>
      <c r="C15" s="71"/>
      <c r="D15" s="61">
        <v>0</v>
      </c>
      <c r="E15" s="71"/>
      <c r="F15" s="61">
        <v>0</v>
      </c>
      <c r="G15" s="71"/>
      <c r="H15" s="61">
        <v>0</v>
      </c>
      <c r="I15" s="71"/>
      <c r="J15" s="61">
        <v>0</v>
      </c>
      <c r="K15" s="71"/>
      <c r="L15" s="61">
        <v>0</v>
      </c>
      <c r="M15" s="71"/>
      <c r="N15" s="71">
        <f t="shared" si="38"/>
        <v>0</v>
      </c>
      <c r="Q15" s="50" t="s">
        <v>91</v>
      </c>
      <c r="R15" s="61">
        <v>0</v>
      </c>
      <c r="S15" s="71"/>
      <c r="T15" s="61">
        <v>0</v>
      </c>
      <c r="U15" s="71"/>
      <c r="V15" s="61">
        <v>0</v>
      </c>
      <c r="X15" s="61">
        <v>0</v>
      </c>
      <c r="Y15" s="71"/>
      <c r="Z15" s="61">
        <v>0</v>
      </c>
      <c r="AA15" s="71"/>
      <c r="AB15" s="61">
        <v>0</v>
      </c>
      <c r="AC15" s="71"/>
      <c r="AD15" s="71">
        <f t="shared" si="39"/>
        <v>0</v>
      </c>
      <c r="AG15" s="50" t="s">
        <v>91</v>
      </c>
      <c r="AH15" s="2"/>
      <c r="AI15" s="71"/>
      <c r="AK15" s="71"/>
      <c r="AL15" s="2"/>
      <c r="AM15" s="2"/>
      <c r="AN15" s="2"/>
      <c r="AO15" s="71"/>
      <c r="AQ15" s="71"/>
      <c r="AS15" s="71"/>
      <c r="AT15" s="71">
        <f t="shared" si="40"/>
        <v>0</v>
      </c>
      <c r="AW15" s="50" t="s">
        <v>91</v>
      </c>
      <c r="AX15" s="2">
        <v>0</v>
      </c>
      <c r="AY15" s="71"/>
      <c r="AZ15" s="2">
        <v>0</v>
      </c>
      <c r="BA15" s="71"/>
      <c r="BB15" s="2">
        <v>0</v>
      </c>
      <c r="BC15" s="2"/>
      <c r="BD15" s="2">
        <v>0</v>
      </c>
      <c r="BE15" s="71"/>
      <c r="BF15" s="2">
        <v>0</v>
      </c>
      <c r="BG15" s="71"/>
      <c r="BH15" s="2">
        <v>0</v>
      </c>
      <c r="BI15" s="71"/>
      <c r="BJ15" s="71">
        <f t="shared" si="3"/>
        <v>0</v>
      </c>
      <c r="BM15" s="50" t="s">
        <v>91</v>
      </c>
      <c r="BN15" s="61">
        <v>0</v>
      </c>
      <c r="BO15" s="71"/>
      <c r="BP15" s="61">
        <v>0</v>
      </c>
      <c r="BQ15" s="71"/>
      <c r="BR15" s="61">
        <v>0</v>
      </c>
      <c r="BS15" s="71"/>
      <c r="BT15" s="61">
        <v>0</v>
      </c>
      <c r="BU15" s="71"/>
      <c r="BV15" s="61">
        <v>0</v>
      </c>
      <c r="BW15" s="71"/>
      <c r="BX15" s="61">
        <v>0</v>
      </c>
      <c r="BY15" s="71"/>
      <c r="BZ15" s="71">
        <f t="shared" si="4"/>
        <v>0</v>
      </c>
      <c r="CC15" s="50" t="s">
        <v>91</v>
      </c>
      <c r="CD15" s="61">
        <v>0</v>
      </c>
      <c r="CE15" s="71"/>
      <c r="CF15" s="61">
        <v>0</v>
      </c>
      <c r="CG15" s="71"/>
      <c r="CH15" s="61">
        <v>0</v>
      </c>
      <c r="CJ15" s="61">
        <v>0</v>
      </c>
      <c r="CK15" s="71"/>
      <c r="CL15" s="61">
        <v>0</v>
      </c>
      <c r="CM15" s="71"/>
      <c r="CN15" s="61">
        <v>0</v>
      </c>
      <c r="CO15" s="71"/>
      <c r="CP15" s="71">
        <f t="shared" si="5"/>
        <v>0</v>
      </c>
      <c r="CS15" s="50" t="s">
        <v>91</v>
      </c>
      <c r="CT15" s="61">
        <v>0</v>
      </c>
      <c r="CU15" s="71"/>
      <c r="CV15" s="61">
        <v>0</v>
      </c>
      <c r="CW15" s="71"/>
      <c r="CX15" s="61">
        <v>0</v>
      </c>
      <c r="CZ15" s="61">
        <v>0</v>
      </c>
      <c r="DA15" s="71"/>
      <c r="DB15" s="61">
        <v>0</v>
      </c>
      <c r="DC15" s="71"/>
      <c r="DD15" s="61">
        <v>0</v>
      </c>
      <c r="DE15" s="71"/>
      <c r="DF15" s="71">
        <f t="shared" si="6"/>
        <v>0</v>
      </c>
      <c r="DI15" s="50" t="s">
        <v>91</v>
      </c>
      <c r="DJ15" s="2">
        <v>0</v>
      </c>
      <c r="DK15" s="71"/>
      <c r="DL15" s="2">
        <v>0</v>
      </c>
      <c r="DM15" s="71"/>
      <c r="DN15" s="2">
        <v>0</v>
      </c>
      <c r="DO15" s="2"/>
      <c r="DP15" s="2">
        <v>0</v>
      </c>
      <c r="DQ15" s="71"/>
      <c r="DR15" s="2">
        <v>0</v>
      </c>
      <c r="DS15" s="71"/>
      <c r="DT15" s="2">
        <v>0</v>
      </c>
      <c r="DU15" s="71"/>
      <c r="DV15" s="71">
        <f t="shared" si="7"/>
        <v>0</v>
      </c>
      <c r="DY15" s="50" t="s">
        <v>91</v>
      </c>
      <c r="DZ15" s="61">
        <v>0</v>
      </c>
      <c r="EA15" s="71"/>
      <c r="EB15" s="61">
        <v>0</v>
      </c>
      <c r="EC15" s="71"/>
      <c r="ED15" s="61">
        <v>0</v>
      </c>
      <c r="EE15" s="71"/>
      <c r="EF15" s="61">
        <v>0</v>
      </c>
      <c r="EG15" s="71"/>
      <c r="EH15" s="61">
        <v>0</v>
      </c>
      <c r="EI15" s="71"/>
      <c r="EJ15" s="71">
        <f t="shared" si="8"/>
        <v>0</v>
      </c>
      <c r="EM15" s="50" t="s">
        <v>91</v>
      </c>
      <c r="EN15" s="2">
        <v>0</v>
      </c>
      <c r="EO15" s="48"/>
      <c r="EP15" s="2">
        <v>0</v>
      </c>
      <c r="EQ15" s="48"/>
      <c r="ER15" s="2">
        <v>0</v>
      </c>
      <c r="ES15" s="48"/>
      <c r="ET15" s="2">
        <v>0</v>
      </c>
      <c r="EU15" s="48"/>
      <c r="EV15" s="2">
        <v>0</v>
      </c>
      <c r="EW15" s="48"/>
      <c r="EX15" s="48">
        <f t="shared" si="41"/>
        <v>0</v>
      </c>
      <c r="FA15" s="50" t="s">
        <v>91</v>
      </c>
      <c r="FB15" s="2">
        <v>0</v>
      </c>
      <c r="FC15" s="48"/>
      <c r="FD15" s="2">
        <v>0</v>
      </c>
      <c r="FE15" s="48"/>
      <c r="FF15" s="2">
        <v>0</v>
      </c>
      <c r="FG15" s="48"/>
      <c r="FH15" s="2">
        <v>0</v>
      </c>
      <c r="FI15" s="48"/>
      <c r="FJ15" s="2">
        <v>0</v>
      </c>
      <c r="FK15" s="48"/>
      <c r="FL15" s="48">
        <f>SUM(FB15:FJ15)</f>
        <v>0</v>
      </c>
      <c r="FO15" s="50" t="s">
        <v>91</v>
      </c>
      <c r="FP15" s="2">
        <v>0</v>
      </c>
      <c r="FQ15" s="48"/>
      <c r="FR15" s="2">
        <v>0</v>
      </c>
      <c r="FS15" s="48"/>
      <c r="FT15" s="2">
        <v>0</v>
      </c>
      <c r="FU15" s="48"/>
      <c r="FV15" s="2">
        <v>0</v>
      </c>
      <c r="FW15" s="48"/>
      <c r="FX15" s="2">
        <v>0</v>
      </c>
      <c r="FY15" s="48"/>
      <c r="FZ15" s="48">
        <f t="shared" si="10"/>
        <v>0</v>
      </c>
      <c r="GC15" s="50" t="s">
        <v>91</v>
      </c>
      <c r="GD15" s="2">
        <v>0</v>
      </c>
      <c r="GE15" s="48"/>
      <c r="GF15" s="2">
        <v>0</v>
      </c>
      <c r="GG15" s="48"/>
      <c r="GH15" s="2">
        <v>0</v>
      </c>
      <c r="GI15" s="48"/>
      <c r="GJ15" s="2">
        <v>5874205.7084021242</v>
      </c>
      <c r="GK15" s="48"/>
      <c r="GL15" s="2">
        <v>0</v>
      </c>
      <c r="GM15" s="48"/>
      <c r="GN15" s="48">
        <f t="shared" si="11"/>
        <v>5874205.7084021242</v>
      </c>
      <c r="GQ15" s="50" t="s">
        <v>91</v>
      </c>
      <c r="GR15" s="2">
        <v>0</v>
      </c>
      <c r="GS15" s="48"/>
      <c r="GT15" s="2">
        <v>0</v>
      </c>
      <c r="GU15" s="48"/>
      <c r="GV15" s="2">
        <v>0</v>
      </c>
      <c r="GW15" s="48"/>
      <c r="GX15" s="2">
        <v>5874205.7084021242</v>
      </c>
      <c r="GY15" s="48"/>
      <c r="GZ15" s="2">
        <v>0</v>
      </c>
      <c r="HA15" s="48"/>
      <c r="HB15" s="48">
        <f t="shared" si="42"/>
        <v>5874205.7084021242</v>
      </c>
      <c r="HE15" s="50" t="s">
        <v>91</v>
      </c>
      <c r="HF15" s="2">
        <v>0</v>
      </c>
      <c r="HG15" s="48"/>
      <c r="HH15" s="2">
        <v>0</v>
      </c>
      <c r="HI15" s="48"/>
      <c r="HJ15" s="2">
        <v>0</v>
      </c>
      <c r="HK15" s="48"/>
      <c r="HL15" s="53">
        <v>5874205.7084021242</v>
      </c>
      <c r="HM15" s="48"/>
      <c r="HN15" s="2">
        <v>0</v>
      </c>
      <c r="HO15" s="48"/>
      <c r="HP15" s="48">
        <f t="shared" si="12"/>
        <v>5874205.7084021242</v>
      </c>
      <c r="HS15" s="50" t="s">
        <v>91</v>
      </c>
      <c r="HT15" s="2">
        <v>0</v>
      </c>
      <c r="HU15" s="48"/>
      <c r="HV15" s="2">
        <v>0</v>
      </c>
      <c r="HW15" s="48"/>
      <c r="HX15" s="2">
        <v>0</v>
      </c>
      <c r="HY15" s="48"/>
      <c r="HZ15" s="2">
        <v>0</v>
      </c>
      <c r="IA15" s="48"/>
      <c r="IB15" s="2">
        <v>0</v>
      </c>
      <c r="IC15" s="48"/>
      <c r="ID15" s="48">
        <f t="shared" si="13"/>
        <v>0</v>
      </c>
      <c r="IG15" s="50" t="s">
        <v>91</v>
      </c>
      <c r="IH15" s="2">
        <v>0</v>
      </c>
      <c r="II15" s="48"/>
      <c r="IJ15" s="2">
        <v>0</v>
      </c>
      <c r="IK15" s="48"/>
      <c r="IL15" s="2">
        <v>0</v>
      </c>
      <c r="IM15" s="48"/>
      <c r="IN15" s="2">
        <v>0</v>
      </c>
      <c r="IO15" s="48"/>
      <c r="IP15" s="2">
        <v>0</v>
      </c>
      <c r="IQ15" s="48"/>
      <c r="IR15" s="48">
        <f t="shared" si="14"/>
        <v>0</v>
      </c>
      <c r="IU15" s="50" t="s">
        <v>91</v>
      </c>
      <c r="IV15" s="2">
        <v>0</v>
      </c>
      <c r="IW15" s="48"/>
      <c r="IY15" s="48"/>
      <c r="IZ15" s="2"/>
      <c r="JA15" s="48"/>
      <c r="JC15" s="48"/>
      <c r="JE15" s="48"/>
      <c r="JF15" s="48">
        <f t="shared" si="43"/>
        <v>0</v>
      </c>
      <c r="JI15" s="50" t="s">
        <v>91</v>
      </c>
      <c r="JJ15" s="2">
        <v>0</v>
      </c>
      <c r="JK15" s="48"/>
      <c r="JL15" s="2">
        <v>0</v>
      </c>
      <c r="JM15" s="48"/>
      <c r="JN15" s="2">
        <v>0</v>
      </c>
      <c r="JO15" s="48"/>
      <c r="JP15" s="2">
        <v>0</v>
      </c>
      <c r="JQ15" s="48"/>
      <c r="JR15" s="2">
        <v>0</v>
      </c>
      <c r="JS15" s="48"/>
      <c r="JT15" s="48">
        <f t="shared" si="15"/>
        <v>0</v>
      </c>
      <c r="JW15" s="50" t="s">
        <v>91</v>
      </c>
      <c r="JX15" s="2">
        <v>0</v>
      </c>
      <c r="JY15" s="48"/>
      <c r="JZ15" s="2">
        <v>0</v>
      </c>
      <c r="KA15" s="48"/>
      <c r="KB15" s="2">
        <v>0</v>
      </c>
      <c r="KC15" s="48"/>
      <c r="KD15" s="2">
        <v>0</v>
      </c>
      <c r="KE15" s="48"/>
      <c r="KF15" s="2">
        <v>0</v>
      </c>
      <c r="KG15" s="48"/>
      <c r="KH15" s="48">
        <f t="shared" si="16"/>
        <v>0</v>
      </c>
      <c r="KK15" s="50" t="s">
        <v>91</v>
      </c>
      <c r="KL15" s="2"/>
      <c r="KM15" s="48"/>
      <c r="KO15" s="48"/>
      <c r="KP15" s="2"/>
      <c r="KQ15" s="48"/>
      <c r="KS15" s="48"/>
      <c r="KU15" s="48"/>
      <c r="KV15" s="48">
        <f t="shared" si="17"/>
        <v>0</v>
      </c>
      <c r="KW15" s="49"/>
      <c r="KX15" s="49"/>
      <c r="KY15" s="50" t="s">
        <v>91</v>
      </c>
      <c r="KZ15" s="2">
        <v>0</v>
      </c>
      <c r="LA15" s="48"/>
      <c r="LB15" s="2">
        <v>0</v>
      </c>
      <c r="LC15" s="48"/>
      <c r="LD15" s="2">
        <v>0</v>
      </c>
      <c r="LE15" s="48"/>
      <c r="LF15" s="2">
        <v>0</v>
      </c>
      <c r="LG15" s="48"/>
      <c r="LH15" s="2">
        <v>0</v>
      </c>
      <c r="LI15" s="48"/>
      <c r="LJ15" s="48">
        <f t="shared" si="44"/>
        <v>0</v>
      </c>
      <c r="LK15" s="49"/>
      <c r="LL15" s="49"/>
      <c r="LM15" s="50" t="s">
        <v>91</v>
      </c>
      <c r="LN15" s="2">
        <v>0</v>
      </c>
      <c r="LO15" s="48"/>
      <c r="LP15" s="2">
        <v>0</v>
      </c>
      <c r="LQ15" s="48"/>
      <c r="LR15" s="2">
        <v>0</v>
      </c>
      <c r="LS15" s="48"/>
      <c r="LT15" s="2">
        <v>0</v>
      </c>
      <c r="LU15" s="48"/>
      <c r="LV15" s="2">
        <v>0</v>
      </c>
      <c r="LW15" s="48"/>
      <c r="LX15" s="48">
        <f t="shared" si="45"/>
        <v>0</v>
      </c>
      <c r="LY15" s="49"/>
      <c r="LZ15" s="50" t="s">
        <v>91</v>
      </c>
      <c r="MA15" s="2">
        <v>0</v>
      </c>
      <c r="MB15" s="48"/>
      <c r="MD15" s="48"/>
      <c r="ME15" s="55"/>
      <c r="MK15" s="2">
        <f t="shared" si="18"/>
        <v>0</v>
      </c>
      <c r="MM15" s="50" t="s">
        <v>91</v>
      </c>
      <c r="MN15" s="2">
        <v>0</v>
      </c>
      <c r="MO15" s="48"/>
      <c r="MP15" s="2">
        <v>0</v>
      </c>
      <c r="MQ15" s="48"/>
      <c r="MR15" s="2">
        <v>0</v>
      </c>
      <c r="MS15" s="48"/>
      <c r="MT15" s="2">
        <v>0</v>
      </c>
      <c r="MU15" s="48"/>
      <c r="MV15" s="2">
        <v>0</v>
      </c>
      <c r="MW15" s="48"/>
      <c r="MX15" s="48">
        <f t="shared" si="19"/>
        <v>0</v>
      </c>
      <c r="MY15" s="49"/>
      <c r="MZ15" s="49"/>
      <c r="NA15" s="50" t="s">
        <v>91</v>
      </c>
      <c r="NB15" s="2">
        <v>0</v>
      </c>
      <c r="NC15" s="48"/>
      <c r="ND15" s="2">
        <v>0</v>
      </c>
      <c r="NE15" s="48"/>
      <c r="NF15" s="2">
        <v>0</v>
      </c>
      <c r="NG15" s="48"/>
      <c r="NH15" s="2">
        <v>0</v>
      </c>
      <c r="NI15" s="48"/>
      <c r="NJ15" s="2">
        <v>0</v>
      </c>
      <c r="NK15" s="48"/>
      <c r="NL15" s="48">
        <f t="shared" si="46"/>
        <v>0</v>
      </c>
      <c r="NM15" s="49"/>
      <c r="NN15" s="49"/>
      <c r="NO15" s="50" t="s">
        <v>91</v>
      </c>
      <c r="NP15" s="2">
        <v>0</v>
      </c>
      <c r="NQ15" s="48"/>
      <c r="NR15" s="2">
        <v>0</v>
      </c>
      <c r="NS15" s="48"/>
      <c r="NT15" s="2">
        <v>0</v>
      </c>
      <c r="NU15" s="48"/>
      <c r="NV15" s="2">
        <v>0</v>
      </c>
      <c r="NW15" s="48"/>
      <c r="NX15" s="2">
        <v>0</v>
      </c>
      <c r="NY15" s="48"/>
      <c r="NZ15" s="48">
        <f t="shared" si="47"/>
        <v>0</v>
      </c>
      <c r="OA15" s="49"/>
      <c r="OB15" s="50" t="s">
        <v>91</v>
      </c>
      <c r="OC15" s="2">
        <v>0</v>
      </c>
      <c r="OD15" s="48"/>
      <c r="OE15" s="2">
        <v>0</v>
      </c>
      <c r="OF15" s="48"/>
      <c r="OG15" s="55">
        <v>0</v>
      </c>
      <c r="OI15" s="2">
        <v>0</v>
      </c>
      <c r="OK15" s="2">
        <v>0</v>
      </c>
      <c r="OM15" s="2">
        <f t="shared" si="20"/>
        <v>0</v>
      </c>
      <c r="OO15" s="18" t="s">
        <v>91</v>
      </c>
      <c r="OP15" s="2">
        <v>0</v>
      </c>
      <c r="OQ15" s="2">
        <v>0</v>
      </c>
      <c r="OR15" s="2">
        <v>0</v>
      </c>
      <c r="OT15" s="2">
        <v>0</v>
      </c>
      <c r="OV15" s="2">
        <v>9404177.1611000001</v>
      </c>
      <c r="OX15" s="2">
        <v>0</v>
      </c>
      <c r="OZ15" s="2">
        <f t="shared" si="21"/>
        <v>9404177.1611000001</v>
      </c>
      <c r="PA15" s="25"/>
      <c r="PB15" s="18" t="s">
        <v>91</v>
      </c>
      <c r="PC15" s="2">
        <v>0</v>
      </c>
      <c r="PD15" s="2"/>
      <c r="PE15" s="2">
        <v>0</v>
      </c>
      <c r="PG15" s="39"/>
      <c r="PI15" s="2">
        <v>10176701.9811</v>
      </c>
      <c r="PK15" s="2">
        <v>0</v>
      </c>
      <c r="PM15" s="2">
        <f t="shared" si="22"/>
        <v>10176701.9811</v>
      </c>
      <c r="PN15" s="25"/>
      <c r="PO15" s="51" t="s">
        <v>91</v>
      </c>
      <c r="PP15" s="2">
        <v>0</v>
      </c>
      <c r="PQ15" s="2"/>
      <c r="PR15" s="2">
        <v>0</v>
      </c>
      <c r="PT15" s="39"/>
      <c r="PV15" s="2">
        <v>7318045.3499999996</v>
      </c>
      <c r="PX15" s="2">
        <v>0</v>
      </c>
      <c r="PZ15" s="2">
        <f t="shared" si="23"/>
        <v>7318045.3499999996</v>
      </c>
      <c r="QA15" s="25"/>
      <c r="QB15" s="18"/>
      <c r="QC15" s="2"/>
      <c r="QD15" s="2"/>
      <c r="QG15" s="39"/>
      <c r="QN15" s="25"/>
      <c r="QO15" s="18"/>
      <c r="QP15" s="2"/>
      <c r="QQ15" s="2"/>
      <c r="RA15" s="25"/>
      <c r="RB15" s="18"/>
      <c r="RC15" s="2"/>
      <c r="RD15" s="2"/>
      <c r="RN15" s="25"/>
      <c r="RO15" s="18"/>
      <c r="RP15" s="2"/>
      <c r="RQ15" s="2"/>
      <c r="SA15" s="25"/>
      <c r="SB15" s="18"/>
      <c r="SC15" s="2"/>
      <c r="SD15" s="2"/>
      <c r="SN15" s="25"/>
      <c r="SO15" s="18"/>
      <c r="SP15" s="2"/>
      <c r="SQ15" s="2"/>
      <c r="TA15" s="25"/>
      <c r="TB15" s="18"/>
      <c r="TC15" s="2"/>
      <c r="TD15" s="2"/>
      <c r="TN15" s="25"/>
      <c r="TO15" s="18"/>
      <c r="TP15" s="2"/>
      <c r="TQ15" s="2"/>
      <c r="UA15" s="25"/>
      <c r="UB15" s="18"/>
      <c r="UC15" s="2"/>
      <c r="UD15" s="2"/>
      <c r="UN15" s="25"/>
      <c r="UO15" s="18"/>
      <c r="UP15" s="2"/>
      <c r="UQ15" s="2"/>
      <c r="VA15" s="25"/>
      <c r="VB15" s="25"/>
      <c r="VC15" s="2"/>
      <c r="VD15" s="2"/>
      <c r="VN15" s="25"/>
      <c r="VO15" s="25"/>
      <c r="VP15" s="2"/>
      <c r="VQ15" s="2"/>
      <c r="WA15" s="25"/>
      <c r="WB15" s="19"/>
      <c r="WC15" s="2"/>
      <c r="WD15" s="2"/>
      <c r="WN15" s="25"/>
      <c r="WO15" s="19"/>
      <c r="WP15" s="2"/>
      <c r="WQ15" s="2"/>
      <c r="XA15" s="25"/>
      <c r="XB15" s="25"/>
      <c r="XC15" s="2"/>
      <c r="XD15" s="2"/>
      <c r="XN15" s="2"/>
      <c r="XO15" s="25"/>
      <c r="XP15" s="2"/>
      <c r="XQ15" s="2"/>
      <c r="YA15" s="2"/>
      <c r="YB15" s="25"/>
      <c r="YC15" s="2"/>
      <c r="YD15" s="2"/>
      <c r="YN15" s="2"/>
      <c r="YO15" s="19"/>
      <c r="YP15" s="2"/>
      <c r="YQ15" s="2"/>
    </row>
    <row r="16" spans="1:676">
      <c r="A16" s="50" t="s">
        <v>18</v>
      </c>
      <c r="B16" s="2">
        <v>0</v>
      </c>
      <c r="C16" s="71"/>
      <c r="D16" s="2">
        <v>0</v>
      </c>
      <c r="E16" s="71"/>
      <c r="F16" s="2">
        <v>0</v>
      </c>
      <c r="G16" s="71"/>
      <c r="H16" s="2">
        <v>33907.879999999997</v>
      </c>
      <c r="I16" s="71"/>
      <c r="J16" s="2">
        <v>-1674049.76</v>
      </c>
      <c r="K16" s="71"/>
      <c r="L16" s="2">
        <v>-248600.08</v>
      </c>
      <c r="M16" s="71"/>
      <c r="N16" s="71">
        <f t="shared" si="38"/>
        <v>-1888741.9600000002</v>
      </c>
      <c r="Q16" s="50" t="s">
        <v>18</v>
      </c>
      <c r="R16" s="2">
        <v>0</v>
      </c>
      <c r="S16" s="71"/>
      <c r="T16" s="2">
        <v>0</v>
      </c>
      <c r="U16" s="71"/>
      <c r="V16" s="2">
        <v>0</v>
      </c>
      <c r="X16" s="2">
        <v>25430.920000000006</v>
      </c>
      <c r="Y16" s="71"/>
      <c r="Z16" s="2">
        <v>-750933.47361333342</v>
      </c>
      <c r="AA16" s="71"/>
      <c r="AB16" s="2">
        <v>-150874.83997333332</v>
      </c>
      <c r="AC16" s="71"/>
      <c r="AD16" s="71">
        <f t="shared" si="39"/>
        <v>-876377.39358666667</v>
      </c>
      <c r="AG16" s="50" t="s">
        <v>18</v>
      </c>
      <c r="AH16" s="2">
        <v>0</v>
      </c>
      <c r="AI16" s="71"/>
      <c r="AJ16" s="2">
        <v>0</v>
      </c>
      <c r="AK16" s="71"/>
      <c r="AL16" s="2">
        <v>0</v>
      </c>
      <c r="AM16" s="2"/>
      <c r="AN16" s="2">
        <v>16180.460000000001</v>
      </c>
      <c r="AO16" s="71"/>
      <c r="AP16" s="2">
        <v>-192461.60576666667</v>
      </c>
      <c r="AQ16" s="71"/>
      <c r="AR16" s="2">
        <v>-165216.16423333329</v>
      </c>
      <c r="AS16" s="71"/>
      <c r="AT16" s="71">
        <f t="shared" si="40"/>
        <v>-341497.30999999994</v>
      </c>
      <c r="AW16" s="50" t="s">
        <v>18</v>
      </c>
      <c r="AX16" s="2">
        <v>0</v>
      </c>
      <c r="AY16" s="71"/>
      <c r="AZ16" s="2">
        <v>0</v>
      </c>
      <c r="BA16" s="71"/>
      <c r="BB16" s="2">
        <v>0</v>
      </c>
      <c r="BC16" s="2"/>
      <c r="BD16" s="2">
        <v>8090.2199999999993</v>
      </c>
      <c r="BE16" s="71"/>
      <c r="BF16" s="2">
        <v>168659.669069</v>
      </c>
      <c r="BG16" s="71"/>
      <c r="BH16" s="2">
        <v>-91217.780759999994</v>
      </c>
      <c r="BI16" s="71"/>
      <c r="BJ16" s="71">
        <f t="shared" si="3"/>
        <v>85532.108309000003</v>
      </c>
      <c r="BM16" s="50" t="s">
        <v>18</v>
      </c>
      <c r="BN16" s="2">
        <v>0</v>
      </c>
      <c r="BO16" s="71"/>
      <c r="BP16" s="2">
        <v>0</v>
      </c>
      <c r="BQ16" s="71"/>
      <c r="BR16" s="2">
        <v>0</v>
      </c>
      <c r="BS16" s="71"/>
      <c r="BT16" s="2">
        <v>32717.839999999989</v>
      </c>
      <c r="BU16" s="71"/>
      <c r="BV16" s="2">
        <v>-867564.95633108297</v>
      </c>
      <c r="BW16" s="71"/>
      <c r="BX16" s="2">
        <v>-214535.54190666665</v>
      </c>
      <c r="BY16" s="71"/>
      <c r="BZ16" s="71">
        <f t="shared" si="4"/>
        <v>-1049382.6582377497</v>
      </c>
      <c r="CC16" s="50" t="s">
        <v>18</v>
      </c>
      <c r="CD16" s="61">
        <v>0</v>
      </c>
      <c r="CE16" s="71"/>
      <c r="CF16" s="61">
        <v>0</v>
      </c>
      <c r="CG16" s="71"/>
      <c r="CH16" s="61">
        <v>0</v>
      </c>
      <c r="CJ16" s="61">
        <v>24538.409999999996</v>
      </c>
      <c r="CK16" s="71"/>
      <c r="CL16" s="61">
        <v>-299208.29320688895</v>
      </c>
      <c r="CM16" s="71"/>
      <c r="CN16" s="61">
        <v>0</v>
      </c>
      <c r="CO16" s="71"/>
      <c r="CP16" s="71">
        <f t="shared" si="5"/>
        <v>-274669.88320688898</v>
      </c>
      <c r="CS16" s="50" t="s">
        <v>18</v>
      </c>
      <c r="CT16" s="2">
        <v>0</v>
      </c>
      <c r="CU16" s="71"/>
      <c r="CV16" s="2">
        <v>0</v>
      </c>
      <c r="CW16" s="71"/>
      <c r="CX16" s="2">
        <v>0</v>
      </c>
      <c r="CY16" s="2"/>
      <c r="CZ16" s="2">
        <v>16358.929999999998</v>
      </c>
      <c r="DA16" s="71"/>
      <c r="DB16" s="2">
        <v>-410286.25</v>
      </c>
      <c r="DC16" s="71"/>
      <c r="DD16" s="2">
        <v>0</v>
      </c>
      <c r="DE16" s="71"/>
      <c r="DF16" s="71">
        <f t="shared" si="6"/>
        <v>-393927.32</v>
      </c>
      <c r="DI16" s="50" t="s">
        <v>18</v>
      </c>
      <c r="DJ16" s="2">
        <v>0</v>
      </c>
      <c r="DK16" s="71"/>
      <c r="DL16" s="2">
        <v>0</v>
      </c>
      <c r="DM16" s="71"/>
      <c r="DN16" s="2">
        <v>0</v>
      </c>
      <c r="DO16" s="2"/>
      <c r="DP16" s="2">
        <v>8179.449999999998</v>
      </c>
      <c r="DQ16" s="71"/>
      <c r="DR16" s="2">
        <v>-120199.895985667</v>
      </c>
      <c r="DS16" s="71"/>
      <c r="DT16" s="2">
        <v>0</v>
      </c>
      <c r="DU16" s="71"/>
      <c r="DV16" s="71">
        <f t="shared" si="7"/>
        <v>-112020.445985667</v>
      </c>
      <c r="DY16" s="50" t="s">
        <v>18</v>
      </c>
      <c r="DZ16" s="61">
        <v>0</v>
      </c>
      <c r="EA16" s="71"/>
      <c r="EB16" s="61">
        <v>0</v>
      </c>
      <c r="EC16" s="71"/>
      <c r="ED16" s="61">
        <v>843823.41</v>
      </c>
      <c r="EE16" s="71"/>
      <c r="EF16" s="61">
        <v>-2067983.4946343335</v>
      </c>
      <c r="EG16" s="71"/>
      <c r="EH16" s="61">
        <v>-267322.56536566664</v>
      </c>
      <c r="EI16" s="71"/>
      <c r="EJ16" s="71">
        <f t="shared" si="8"/>
        <v>-1491482.65</v>
      </c>
      <c r="EM16" s="50" t="s">
        <v>18</v>
      </c>
      <c r="EN16" s="2">
        <v>0</v>
      </c>
      <c r="EO16" s="48"/>
      <c r="EP16" s="2">
        <v>0</v>
      </c>
      <c r="EQ16" s="48"/>
      <c r="ER16" s="2">
        <v>651384.28</v>
      </c>
      <c r="ES16" s="48"/>
      <c r="ET16" s="2">
        <v>-267226.53212941129</v>
      </c>
      <c r="EU16" s="48"/>
      <c r="EV16" s="2">
        <v>-457258.18770477781</v>
      </c>
      <c r="EW16" s="48"/>
      <c r="EX16" s="48">
        <f t="shared" si="41"/>
        <v>-73100.439834189077</v>
      </c>
      <c r="FA16" s="50" t="s">
        <v>18</v>
      </c>
      <c r="FB16" s="2">
        <v>0</v>
      </c>
      <c r="FC16" s="48"/>
      <c r="FD16" s="2">
        <v>0</v>
      </c>
      <c r="FE16" s="48"/>
      <c r="FF16" s="2">
        <v>546646.84</v>
      </c>
      <c r="FG16" s="48"/>
      <c r="FH16" s="2">
        <v>-697266.29797457857</v>
      </c>
      <c r="FI16" s="48"/>
      <c r="FJ16" s="2">
        <v>0</v>
      </c>
      <c r="FK16" s="48"/>
      <c r="FL16" s="48">
        <f t="shared" si="9"/>
        <v>-150619.4579745786</v>
      </c>
      <c r="FO16" s="50" t="s">
        <v>18</v>
      </c>
      <c r="FP16" s="2">
        <v>0</v>
      </c>
      <c r="FQ16" s="48"/>
      <c r="FR16" s="2">
        <v>0</v>
      </c>
      <c r="FS16" s="48"/>
      <c r="FT16" s="2">
        <v>221251.87</v>
      </c>
      <c r="FU16" s="48"/>
      <c r="FV16" s="2">
        <v>3192.7600000000079</v>
      </c>
      <c r="FW16" s="48"/>
      <c r="FX16" s="2">
        <v>0</v>
      </c>
      <c r="FY16" s="48"/>
      <c r="FZ16" s="48">
        <f t="shared" si="10"/>
        <v>224444.63</v>
      </c>
      <c r="GC16" s="50" t="s">
        <v>18</v>
      </c>
      <c r="GD16" s="2">
        <v>0</v>
      </c>
      <c r="GE16" s="48"/>
      <c r="GF16" s="2">
        <v>0</v>
      </c>
      <c r="GG16" s="48"/>
      <c r="GH16" s="2">
        <v>948913.26</v>
      </c>
      <c r="GI16" s="48"/>
      <c r="GJ16" s="2">
        <v>780188.82642691326</v>
      </c>
      <c r="GK16" s="48"/>
      <c r="GL16" s="2">
        <v>0</v>
      </c>
      <c r="GM16" s="48"/>
      <c r="GN16" s="48">
        <f t="shared" si="11"/>
        <v>1729102.0864269133</v>
      </c>
      <c r="GQ16" s="50" t="s">
        <v>18</v>
      </c>
      <c r="GR16" s="2">
        <v>0</v>
      </c>
      <c r="GS16" s="48"/>
      <c r="GT16" s="2">
        <v>0</v>
      </c>
      <c r="GU16" s="48"/>
      <c r="GV16" s="2">
        <v>790107.27</v>
      </c>
      <c r="GW16" s="48"/>
      <c r="GX16" s="2">
        <v>536825.46349433355</v>
      </c>
      <c r="GY16" s="48"/>
      <c r="GZ16" s="2">
        <v>-146615.12470059586</v>
      </c>
      <c r="HA16" s="48"/>
      <c r="HB16" s="48">
        <f t="shared" si="42"/>
        <v>1180317.6087937376</v>
      </c>
      <c r="HE16" s="50" t="s">
        <v>18</v>
      </c>
      <c r="HF16" s="2">
        <v>0</v>
      </c>
      <c r="HG16" s="48"/>
      <c r="HH16" s="2">
        <v>0</v>
      </c>
      <c r="HI16" s="48"/>
      <c r="HJ16" s="2">
        <v>452619.63</v>
      </c>
      <c r="HK16" s="48"/>
      <c r="HL16" s="53">
        <v>438215.56815500004</v>
      </c>
      <c r="HM16" s="48"/>
      <c r="HN16" s="2">
        <v>-117070.16099999999</v>
      </c>
      <c r="HO16" s="48"/>
      <c r="HP16" s="48">
        <f t="shared" si="12"/>
        <v>773765.03715500014</v>
      </c>
      <c r="HS16" s="50" t="s">
        <v>18</v>
      </c>
      <c r="HT16" s="2">
        <v>0</v>
      </c>
      <c r="HU16" s="48"/>
      <c r="HV16" s="2">
        <v>0</v>
      </c>
      <c r="HW16" s="48"/>
      <c r="HX16" s="2">
        <v>157563.59</v>
      </c>
      <c r="HY16" s="48"/>
      <c r="HZ16" s="2">
        <v>259495.85949999999</v>
      </c>
      <c r="IA16" s="48"/>
      <c r="IB16" s="2">
        <v>0</v>
      </c>
      <c r="IC16" s="48"/>
      <c r="ID16" s="48">
        <f t="shared" si="13"/>
        <v>417059.44949999999</v>
      </c>
      <c r="IG16" s="50" t="s">
        <v>18</v>
      </c>
      <c r="IH16" s="2">
        <v>0</v>
      </c>
      <c r="II16" s="48"/>
      <c r="IJ16" s="2">
        <v>0</v>
      </c>
      <c r="IK16" s="48"/>
      <c r="IL16" s="2">
        <v>1095583.42</v>
      </c>
      <c r="IM16" s="48"/>
      <c r="IN16" s="2">
        <v>378182.12800000003</v>
      </c>
      <c r="IO16" s="48"/>
      <c r="IP16" s="2">
        <v>0</v>
      </c>
      <c r="IQ16" s="48"/>
      <c r="IR16" s="48">
        <f t="shared" si="14"/>
        <v>1473765.548</v>
      </c>
      <c r="IU16" s="50" t="s">
        <v>18</v>
      </c>
      <c r="IV16" s="2">
        <v>0</v>
      </c>
      <c r="IW16" s="48"/>
      <c r="IX16" s="2">
        <v>0</v>
      </c>
      <c r="IY16" s="48"/>
      <c r="IZ16" s="2">
        <v>875129.82</v>
      </c>
      <c r="JA16" s="48"/>
      <c r="JB16" s="2">
        <v>627798.18850000005</v>
      </c>
      <c r="JC16" s="48"/>
      <c r="JD16" s="2">
        <v>0</v>
      </c>
      <c r="JE16" s="48"/>
      <c r="JF16" s="48">
        <f t="shared" si="43"/>
        <v>1502928.0085</v>
      </c>
      <c r="JI16" s="50" t="s">
        <v>18</v>
      </c>
      <c r="JJ16" s="2">
        <v>0</v>
      </c>
      <c r="JK16" s="48"/>
      <c r="JL16" s="2">
        <v>0</v>
      </c>
      <c r="JM16" s="48"/>
      <c r="JN16" s="2">
        <v>441202.55</v>
      </c>
      <c r="JO16" s="48"/>
      <c r="JP16" s="2">
        <v>31505.279000000031</v>
      </c>
      <c r="JQ16" s="48"/>
      <c r="JR16" s="2">
        <v>0</v>
      </c>
      <c r="JS16" s="48"/>
      <c r="JT16" s="48">
        <f t="shared" si="15"/>
        <v>472707.82900000003</v>
      </c>
      <c r="JW16" s="50" t="s">
        <v>18</v>
      </c>
      <c r="JX16" s="2">
        <v>0</v>
      </c>
      <c r="JY16" s="48"/>
      <c r="JZ16" s="2">
        <v>0</v>
      </c>
      <c r="KA16" s="48"/>
      <c r="KB16" s="2">
        <v>199470.61</v>
      </c>
      <c r="KC16" s="48"/>
      <c r="KD16" s="2">
        <v>115878.63950000003</v>
      </c>
      <c r="KE16" s="48"/>
      <c r="KF16" s="2">
        <v>0</v>
      </c>
      <c r="KG16" s="48"/>
      <c r="KH16" s="48">
        <f t="shared" si="16"/>
        <v>315349.24950000003</v>
      </c>
      <c r="KK16" s="50" t="s">
        <v>18</v>
      </c>
      <c r="KL16" s="2">
        <v>0</v>
      </c>
      <c r="KM16" s="48"/>
      <c r="KN16" s="2">
        <v>0</v>
      </c>
      <c r="KO16" s="48"/>
      <c r="KP16" s="2">
        <v>950437.2</v>
      </c>
      <c r="KQ16" s="48"/>
      <c r="KR16" s="2">
        <v>-220233.12200000006</v>
      </c>
      <c r="KS16" s="48"/>
      <c r="KT16" s="2">
        <v>0</v>
      </c>
      <c r="KU16" s="48"/>
      <c r="KV16" s="48">
        <f t="shared" si="17"/>
        <v>730204.07799999986</v>
      </c>
      <c r="KW16" s="49"/>
      <c r="KX16" s="49"/>
      <c r="KY16" s="50" t="s">
        <v>18</v>
      </c>
      <c r="KZ16" s="2">
        <v>0</v>
      </c>
      <c r="LA16" s="48"/>
      <c r="LB16" s="2">
        <v>0</v>
      </c>
      <c r="LC16" s="48"/>
      <c r="LD16" s="2">
        <v>749535.33</v>
      </c>
      <c r="LE16" s="48"/>
      <c r="LF16" s="2">
        <v>-11853.871500000037</v>
      </c>
      <c r="LG16" s="48"/>
      <c r="LH16" s="2">
        <v>0</v>
      </c>
      <c r="LI16" s="48"/>
      <c r="LJ16" s="48">
        <f t="shared" si="44"/>
        <v>737681.45849999995</v>
      </c>
      <c r="LK16" s="49"/>
      <c r="LL16" s="49"/>
      <c r="LM16" s="47" t="s">
        <v>18</v>
      </c>
      <c r="LN16" s="2">
        <v>0</v>
      </c>
      <c r="LO16" s="48"/>
      <c r="LP16" s="2">
        <v>0</v>
      </c>
      <c r="LQ16" s="48"/>
      <c r="LR16" s="2">
        <v>413629.98</v>
      </c>
      <c r="LS16" s="48"/>
      <c r="LT16" s="2">
        <v>220851.54899999997</v>
      </c>
      <c r="LU16" s="48"/>
      <c r="LV16" s="2">
        <v>0</v>
      </c>
      <c r="LW16" s="48"/>
      <c r="LX16" s="48">
        <f t="shared" si="45"/>
        <v>634481.52899999998</v>
      </c>
      <c r="LY16" s="49"/>
      <c r="LZ16" s="50" t="s">
        <v>18</v>
      </c>
      <c r="MA16" s="2">
        <v>0</v>
      </c>
      <c r="MB16" s="48"/>
      <c r="MC16" s="2">
        <v>0</v>
      </c>
      <c r="MD16" s="48"/>
      <c r="ME16" s="2">
        <v>205621.66</v>
      </c>
      <c r="MG16" s="2">
        <v>82478.959499999983</v>
      </c>
      <c r="MI16" s="2">
        <v>0</v>
      </c>
      <c r="MK16" s="2">
        <f t="shared" si="18"/>
        <v>288100.61949999997</v>
      </c>
      <c r="MM16" s="50" t="s">
        <v>18</v>
      </c>
      <c r="MN16" s="2">
        <v>0</v>
      </c>
      <c r="MO16" s="48"/>
      <c r="MP16" s="2">
        <v>0</v>
      </c>
      <c r="MQ16" s="48"/>
      <c r="MR16" s="2">
        <v>3652552.8200000003</v>
      </c>
      <c r="MS16" s="48"/>
      <c r="MT16" s="2">
        <v>216581.56799999997</v>
      </c>
      <c r="MU16" s="48"/>
      <c r="MV16" s="2">
        <v>0</v>
      </c>
      <c r="MW16" s="48"/>
      <c r="MX16" s="48">
        <f t="shared" si="19"/>
        <v>3869134.3880000003</v>
      </c>
      <c r="MY16" s="49"/>
      <c r="MZ16" s="49"/>
      <c r="NA16" s="50" t="s">
        <v>18</v>
      </c>
      <c r="NB16" s="2">
        <v>0</v>
      </c>
      <c r="NC16" s="48"/>
      <c r="ND16" s="2">
        <v>0</v>
      </c>
      <c r="NE16" s="48"/>
      <c r="NF16" s="2">
        <v>3568553.93</v>
      </c>
      <c r="NG16" s="48"/>
      <c r="NH16" s="2">
        <v>255103.23850000001</v>
      </c>
      <c r="NI16" s="48"/>
      <c r="NJ16" s="2">
        <v>0</v>
      </c>
      <c r="NK16" s="48"/>
      <c r="NL16" s="48">
        <f t="shared" si="46"/>
        <v>3823657.1685000001</v>
      </c>
      <c r="NM16" s="49"/>
      <c r="NN16" s="49"/>
      <c r="NO16" s="47" t="s">
        <v>18</v>
      </c>
      <c r="NP16" s="2">
        <v>0</v>
      </c>
      <c r="NQ16" s="48"/>
      <c r="NR16" s="2">
        <v>0</v>
      </c>
      <c r="NS16" s="48"/>
      <c r="NT16" s="2">
        <v>3331325.3200000003</v>
      </c>
      <c r="NU16" s="48"/>
      <c r="NV16" s="2">
        <v>177496.51439291998</v>
      </c>
      <c r="NW16" s="48"/>
      <c r="NX16" s="2">
        <v>0</v>
      </c>
      <c r="NY16" s="48"/>
      <c r="NZ16" s="48">
        <f t="shared" si="47"/>
        <v>3508821.8343929201</v>
      </c>
      <c r="OA16" s="49"/>
      <c r="OB16" s="50" t="s">
        <v>18</v>
      </c>
      <c r="OC16" s="2">
        <v>0</v>
      </c>
      <c r="OD16" s="48"/>
      <c r="OE16" s="2">
        <v>0</v>
      </c>
      <c r="OF16" s="48"/>
      <c r="OG16" s="55">
        <v>858540</v>
      </c>
      <c r="OI16" s="2">
        <v>387302.44489291997</v>
      </c>
      <c r="OK16" s="2">
        <v>0</v>
      </c>
      <c r="OM16" s="2">
        <f t="shared" si="20"/>
        <v>1245842.4448929201</v>
      </c>
      <c r="OO16" s="18" t="s">
        <v>18</v>
      </c>
      <c r="OP16" s="2">
        <v>0</v>
      </c>
      <c r="OQ16" s="2">
        <v>0</v>
      </c>
      <c r="OR16" s="2">
        <v>0</v>
      </c>
      <c r="OT16" s="2">
        <v>10449851.51</v>
      </c>
      <c r="OV16" s="2">
        <v>-797781.53133333381</v>
      </c>
      <c r="OX16" s="2">
        <v>0</v>
      </c>
      <c r="OZ16" s="2">
        <f t="shared" si="21"/>
        <v>9652069.9786666669</v>
      </c>
      <c r="PA16" s="25"/>
      <c r="PB16" s="18" t="s">
        <v>18</v>
      </c>
      <c r="PC16" s="2">
        <v>0</v>
      </c>
      <c r="PD16" s="2"/>
      <c r="PE16" s="2">
        <v>0</v>
      </c>
      <c r="PG16" s="39">
        <v>0</v>
      </c>
      <c r="PI16" s="2">
        <v>2500605.729166666</v>
      </c>
      <c r="PK16" s="2">
        <v>0</v>
      </c>
      <c r="PM16" s="2">
        <f t="shared" si="22"/>
        <v>2500605.729166666</v>
      </c>
      <c r="PN16" s="25"/>
      <c r="PO16" s="51" t="s">
        <v>18</v>
      </c>
      <c r="PP16" s="2">
        <v>0</v>
      </c>
      <c r="PQ16" s="2"/>
      <c r="PR16" s="2">
        <v>0</v>
      </c>
      <c r="PT16" s="39"/>
      <c r="PV16" s="2">
        <v>2281450.2496666661</v>
      </c>
      <c r="PX16" s="2">
        <v>0</v>
      </c>
      <c r="PZ16" s="2">
        <f t="shared" si="23"/>
        <v>2281450.2496666661</v>
      </c>
      <c r="QA16" s="25"/>
      <c r="QB16" s="18" t="s">
        <v>18</v>
      </c>
      <c r="QC16" s="2">
        <v>0</v>
      </c>
      <c r="QD16" s="2"/>
      <c r="QE16" s="2">
        <v>0</v>
      </c>
      <c r="QG16" s="39"/>
      <c r="QI16" s="2">
        <v>1861773.0800000005</v>
      </c>
      <c r="QK16" s="2">
        <v>0</v>
      </c>
      <c r="QM16" s="2">
        <f t="shared" si="24"/>
        <v>1861773.0800000005</v>
      </c>
      <c r="QN16" s="25"/>
      <c r="QO16" s="18" t="s">
        <v>18</v>
      </c>
      <c r="QP16" s="2">
        <v>0</v>
      </c>
      <c r="QQ16" s="2"/>
      <c r="QR16" s="2">
        <v>0</v>
      </c>
      <c r="QT16" s="2">
        <v>0</v>
      </c>
      <c r="QV16" s="2">
        <v>1604486</v>
      </c>
      <c r="QX16" s="2">
        <v>0</v>
      </c>
      <c r="QZ16" s="2">
        <f t="shared" si="25"/>
        <v>1604486</v>
      </c>
      <c r="RA16" s="25"/>
      <c r="RB16" s="18" t="s">
        <v>18</v>
      </c>
      <c r="RC16" s="2"/>
      <c r="RD16" s="2"/>
      <c r="RI16" s="2">
        <v>1198848.6000000001</v>
      </c>
      <c r="RK16" s="2">
        <v>0</v>
      </c>
      <c r="RM16" s="2">
        <f t="shared" si="26"/>
        <v>1198848.6000000001</v>
      </c>
      <c r="RN16" s="25"/>
      <c r="RO16" s="18" t="s">
        <v>18</v>
      </c>
      <c r="RP16" s="2"/>
      <c r="RQ16" s="2"/>
      <c r="RV16" s="2">
        <v>760074.93</v>
      </c>
      <c r="RX16" s="2">
        <v>0</v>
      </c>
      <c r="RZ16" s="2">
        <f t="shared" si="27"/>
        <v>760074.93</v>
      </c>
      <c r="SA16" s="25"/>
      <c r="SB16" s="18" t="s">
        <v>18</v>
      </c>
      <c r="SC16" s="2"/>
      <c r="SD16" s="2"/>
      <c r="SI16" s="14">
        <v>2680727.04</v>
      </c>
      <c r="SK16" s="2">
        <v>0</v>
      </c>
      <c r="SM16" s="2">
        <f t="shared" si="28"/>
        <v>2680727.04</v>
      </c>
      <c r="SN16" s="25"/>
      <c r="SO16" s="18" t="s">
        <v>18</v>
      </c>
      <c r="SP16" s="2"/>
      <c r="SQ16" s="2"/>
      <c r="SV16" s="14">
        <v>1530678.75</v>
      </c>
      <c r="SX16" s="2">
        <v>0</v>
      </c>
      <c r="SZ16" s="2">
        <f t="shared" si="29"/>
        <v>1530678.75</v>
      </c>
      <c r="TA16" s="25"/>
      <c r="TB16" s="18" t="s">
        <v>18</v>
      </c>
      <c r="TC16" s="2"/>
      <c r="TD16" s="2"/>
      <c r="TI16" s="2">
        <v>1097531.46</v>
      </c>
      <c r="TK16" s="2">
        <v>0</v>
      </c>
      <c r="TM16" s="2">
        <f t="shared" si="30"/>
        <v>1097531.46</v>
      </c>
      <c r="TN16" s="25"/>
      <c r="TO16" s="18" t="s">
        <v>18</v>
      </c>
      <c r="TP16" s="2"/>
      <c r="TQ16" s="2"/>
      <c r="TV16" s="2">
        <v>385154.11000000004</v>
      </c>
      <c r="TX16" s="2">
        <v>0</v>
      </c>
      <c r="TZ16" s="2">
        <f t="shared" si="31"/>
        <v>385154.11000000004</v>
      </c>
      <c r="UA16" s="25"/>
      <c r="UB16" s="18" t="s">
        <v>18</v>
      </c>
      <c r="UC16" s="2"/>
      <c r="UD16" s="2"/>
      <c r="UI16" s="2">
        <v>348854.39</v>
      </c>
      <c r="UM16" s="2">
        <f t="shared" si="32"/>
        <v>348854.39</v>
      </c>
      <c r="UN16" s="25"/>
      <c r="UO16" s="18" t="s">
        <v>18</v>
      </c>
      <c r="UP16" s="2"/>
      <c r="UQ16" s="2"/>
      <c r="UV16" s="14">
        <v>28255.54</v>
      </c>
      <c r="UX16" s="2">
        <v>-75313.39</v>
      </c>
      <c r="UZ16" s="2">
        <f t="shared" si="33"/>
        <v>-47057.85</v>
      </c>
      <c r="VA16" s="25"/>
      <c r="VB16" s="25" t="s">
        <v>18</v>
      </c>
      <c r="VC16" s="2">
        <v>0</v>
      </c>
      <c r="VD16" s="2"/>
      <c r="VE16" s="2">
        <v>0</v>
      </c>
      <c r="VG16" s="2">
        <v>0</v>
      </c>
      <c r="VI16" s="2">
        <v>-25949.29</v>
      </c>
      <c r="VK16" s="2">
        <v>-52247.02</v>
      </c>
      <c r="VM16" s="2">
        <v>-78196.31</v>
      </c>
      <c r="VN16" s="25"/>
      <c r="VO16" s="25" t="s">
        <v>18</v>
      </c>
      <c r="VP16" s="2">
        <v>0</v>
      </c>
      <c r="VQ16" s="2"/>
      <c r="VR16" s="2">
        <v>0</v>
      </c>
      <c r="VT16" s="2">
        <v>0</v>
      </c>
      <c r="VV16" s="2">
        <f>32.09084*1000</f>
        <v>32090.84</v>
      </c>
      <c r="VX16" s="2">
        <f>-23.33792*1000</f>
        <v>-23337.920000000002</v>
      </c>
      <c r="VZ16" s="2">
        <f>8.75292*1000</f>
        <v>8752.92</v>
      </c>
      <c r="WA16" s="25"/>
      <c r="WB16" s="19" t="s">
        <v>18</v>
      </c>
      <c r="WC16" s="2">
        <v>0</v>
      </c>
      <c r="WD16" s="2"/>
      <c r="WE16" s="2">
        <v>0</v>
      </c>
      <c r="WG16" s="2">
        <v>0</v>
      </c>
      <c r="WI16" s="2">
        <v>-68171.429999999993</v>
      </c>
      <c r="WK16" s="2">
        <v>-22136.3</v>
      </c>
      <c r="WM16" s="2">
        <f t="shared" si="34"/>
        <v>-90307.73</v>
      </c>
      <c r="WN16" s="25"/>
      <c r="WO16" s="19" t="s">
        <v>18</v>
      </c>
      <c r="WP16" s="2"/>
      <c r="WQ16" s="2"/>
      <c r="WV16" s="2">
        <f>(356.81969+2.35929)*1000</f>
        <v>359178.98</v>
      </c>
      <c r="WZ16" s="2">
        <f t="shared" si="35"/>
        <v>359178.98</v>
      </c>
      <c r="XA16" s="25"/>
      <c r="XB16" s="25" t="s">
        <v>18</v>
      </c>
      <c r="XC16" s="2">
        <v>0</v>
      </c>
      <c r="XD16" s="2"/>
      <c r="XF16" s="2">
        <v>0</v>
      </c>
      <c r="XG16" s="2">
        <v>0</v>
      </c>
      <c r="XH16" s="2">
        <v>0</v>
      </c>
      <c r="XI16" s="2">
        <v>201112.97</v>
      </c>
      <c r="XJ16" s="2">
        <v>0</v>
      </c>
      <c r="XK16" s="2">
        <v>0</v>
      </c>
      <c r="XM16" s="2">
        <v>-201112.97000000006</v>
      </c>
      <c r="XN16" s="2"/>
      <c r="XO16" s="25" t="s">
        <v>18</v>
      </c>
      <c r="XP16" s="2">
        <v>0</v>
      </c>
      <c r="XQ16" s="2"/>
      <c r="XR16" s="2">
        <v>0</v>
      </c>
      <c r="XT16" s="2">
        <v>0</v>
      </c>
      <c r="XV16" s="2">
        <f>6.21771*1000</f>
        <v>6217.71</v>
      </c>
      <c r="XX16" s="2">
        <f>4.16871*1000</f>
        <v>4168.71</v>
      </c>
      <c r="XZ16" s="2">
        <f>10.38642*1000</f>
        <v>10386.42</v>
      </c>
      <c r="YA16" s="2"/>
      <c r="YB16" s="25" t="s">
        <v>18</v>
      </c>
      <c r="YC16" s="2">
        <v>0</v>
      </c>
      <c r="YD16" s="2"/>
      <c r="YE16" s="2">
        <v>0</v>
      </c>
      <c r="YG16" s="2">
        <v>0</v>
      </c>
      <c r="YI16" s="2">
        <v>187773.72</v>
      </c>
      <c r="YK16" s="2">
        <v>-20126.133495405302</v>
      </c>
      <c r="YM16" s="2">
        <f t="shared" si="36"/>
        <v>167647.58650459471</v>
      </c>
      <c r="YN16" s="2"/>
      <c r="YO16" s="19" t="s">
        <v>18</v>
      </c>
      <c r="YP16" s="2"/>
      <c r="YQ16" s="2"/>
      <c r="YV16" s="2">
        <f>84.82831*1000</f>
        <v>84828.31</v>
      </c>
      <c r="YZ16" s="2">
        <f t="shared" si="37"/>
        <v>84828.31</v>
      </c>
    </row>
    <row r="17" spans="1:676">
      <c r="B17" s="69"/>
      <c r="C17" s="69"/>
      <c r="D17" s="61"/>
      <c r="E17" s="61"/>
      <c r="G17" s="61"/>
      <c r="H17" s="61"/>
      <c r="I17" s="61"/>
      <c r="J17" s="61"/>
      <c r="K17" s="61"/>
      <c r="L17" s="61"/>
      <c r="M17" s="61"/>
      <c r="N17" s="61"/>
      <c r="R17" s="69"/>
      <c r="S17" s="69"/>
      <c r="T17" s="61"/>
      <c r="U17" s="61"/>
      <c r="X17" s="61"/>
      <c r="Y17" s="61"/>
      <c r="Z17" s="61"/>
      <c r="AA17" s="61"/>
      <c r="AB17" s="61"/>
      <c r="AC17" s="61"/>
      <c r="AD17" s="61"/>
      <c r="AH17" s="69"/>
      <c r="AI17" s="69"/>
      <c r="AJ17" s="61"/>
      <c r="AK17" s="61"/>
      <c r="AO17" s="61"/>
      <c r="AP17" s="61"/>
      <c r="AQ17" s="61"/>
      <c r="AR17" s="61"/>
      <c r="AS17" s="61"/>
      <c r="AT17" s="61"/>
      <c r="AX17" s="69"/>
      <c r="AY17" s="69"/>
      <c r="AZ17" s="61"/>
      <c r="BA17" s="61"/>
      <c r="BE17" s="61"/>
      <c r="BF17" s="61"/>
      <c r="BG17" s="61"/>
      <c r="BH17" s="61"/>
      <c r="BI17" s="61"/>
      <c r="BJ17" s="61"/>
      <c r="BN17" s="69"/>
      <c r="BO17" s="69"/>
      <c r="BP17" s="61"/>
      <c r="BQ17" s="61"/>
      <c r="BS17" s="61"/>
      <c r="BU17" s="61"/>
      <c r="BV17" s="61"/>
      <c r="BW17" s="61"/>
      <c r="BX17" s="61"/>
      <c r="BY17" s="61"/>
      <c r="BZ17" s="61"/>
      <c r="CD17" s="69"/>
      <c r="CE17" s="69"/>
      <c r="CF17" s="61"/>
      <c r="CG17" s="61"/>
      <c r="CK17" s="61"/>
      <c r="CL17" s="61"/>
      <c r="CM17" s="61"/>
      <c r="CN17" s="61"/>
      <c r="CO17" s="61"/>
      <c r="CP17" s="61"/>
      <c r="CT17" s="69"/>
      <c r="CU17" s="69"/>
      <c r="CV17" s="61"/>
      <c r="CW17" s="61"/>
      <c r="DA17" s="61"/>
      <c r="DB17" s="61"/>
      <c r="DC17" s="61"/>
      <c r="DD17" s="61"/>
      <c r="DE17" s="61"/>
      <c r="DF17" s="61"/>
      <c r="DJ17" s="69"/>
      <c r="DK17" s="69"/>
      <c r="DL17" s="61"/>
      <c r="DM17" s="61"/>
      <c r="DQ17" s="61"/>
      <c r="DR17" s="61"/>
      <c r="DS17" s="61"/>
      <c r="DT17" s="61"/>
      <c r="DU17" s="61"/>
      <c r="DV17" s="61"/>
      <c r="DZ17" s="69"/>
      <c r="EA17" s="69"/>
      <c r="EB17" s="61"/>
      <c r="EC17" s="61"/>
      <c r="EE17" s="61"/>
      <c r="EF17" s="61"/>
      <c r="EG17" s="61"/>
      <c r="EH17" s="61"/>
      <c r="EI17" s="61"/>
      <c r="EJ17" s="61"/>
      <c r="FH17" s="53"/>
      <c r="HL17" s="53"/>
      <c r="LR17" s="53"/>
      <c r="ME17" s="53"/>
      <c r="NT17" s="53"/>
      <c r="OG17" s="53"/>
      <c r="OT17" s="53"/>
      <c r="PA17" s="24"/>
      <c r="PG17" s="39"/>
      <c r="PN17" s="24"/>
      <c r="PT17" s="39"/>
      <c r="QA17" s="24"/>
      <c r="QG17" s="39"/>
      <c r="QN17" s="24"/>
      <c r="RA17" s="24"/>
      <c r="RN17" s="24"/>
      <c r="SA17" s="24"/>
      <c r="SN17" s="24"/>
      <c r="TA17" s="24"/>
      <c r="TN17" s="24"/>
      <c r="UA17" s="24"/>
      <c r="UN17" s="24"/>
      <c r="VA17" s="24"/>
      <c r="VB17" s="24"/>
      <c r="VN17" s="24"/>
      <c r="VO17" s="24"/>
      <c r="WA17" s="24"/>
      <c r="WN17" s="24"/>
      <c r="XA17" s="24"/>
      <c r="XB17" s="24"/>
      <c r="XN17" s="2"/>
      <c r="XO17" s="24"/>
      <c r="YA17" s="2"/>
      <c r="YB17" s="24"/>
      <c r="YN17" s="2"/>
    </row>
    <row r="18" spans="1:676" ht="21.5" thickBot="1">
      <c r="A18" s="23" t="s">
        <v>135</v>
      </c>
      <c r="B18" s="64">
        <f>B5+B9</f>
        <v>-271009076.75999999</v>
      </c>
      <c r="C18" s="72"/>
      <c r="D18" s="64">
        <f>D5+D9</f>
        <v>-40383615.57</v>
      </c>
      <c r="E18" s="63"/>
      <c r="F18" s="64">
        <f>F5+F9</f>
        <v>-3328138.71</v>
      </c>
      <c r="G18" s="63"/>
      <c r="H18" s="64">
        <f>H5+H9</f>
        <v>-28228889.080000002</v>
      </c>
      <c r="I18" s="63"/>
      <c r="J18" s="64">
        <f>J5+J9</f>
        <v>-28581246.02</v>
      </c>
      <c r="K18" s="63"/>
      <c r="L18" s="64">
        <f>L5+L9</f>
        <v>-629807.54</v>
      </c>
      <c r="M18" s="63"/>
      <c r="N18" s="64">
        <f>N5+N9</f>
        <v>-368686286.78000009</v>
      </c>
      <c r="Q18" s="23" t="s">
        <v>135</v>
      </c>
      <c r="R18" s="64">
        <f>R5+R9</f>
        <v>-189774644.12977472</v>
      </c>
      <c r="S18" s="72"/>
      <c r="T18" s="64">
        <f>T5+T9</f>
        <v>-27054407.896726541</v>
      </c>
      <c r="U18" s="63"/>
      <c r="V18" s="64">
        <f>V5+V9</f>
        <v>-2733208.3652969375</v>
      </c>
      <c r="W18" s="63"/>
      <c r="X18" s="64">
        <f>X5+X9</f>
        <v>-17635214.654703062</v>
      </c>
      <c r="Y18" s="63"/>
      <c r="Z18" s="64">
        <f>Z5+Z9</f>
        <v>-19308017.182697158</v>
      </c>
      <c r="AA18" s="63"/>
      <c r="AB18" s="64">
        <f>AB5+AB9</f>
        <v>-422321.14997333381</v>
      </c>
      <c r="AC18" s="63"/>
      <c r="AD18" s="64">
        <f>AD5+AD9</f>
        <v>-255767713.37917176</v>
      </c>
      <c r="AG18" s="23" t="s">
        <v>135</v>
      </c>
      <c r="AH18" s="64">
        <f>AH5+AH9</f>
        <v>-135159662.55081725</v>
      </c>
      <c r="AI18" s="72"/>
      <c r="AJ18" s="64">
        <f>AJ5+AJ9</f>
        <v>-17230151.832817424</v>
      </c>
      <c r="AK18" s="63"/>
      <c r="AL18" s="64">
        <f>AL5+AL9</f>
        <v>-1665756.4302969333</v>
      </c>
      <c r="AM18" s="63"/>
      <c r="AN18" s="64">
        <f>AN5+AN9</f>
        <v>-9422541.9197030663</v>
      </c>
      <c r="AO18" s="63"/>
      <c r="AP18" s="64">
        <f>AP5+AP9</f>
        <v>-11647394.648775503</v>
      </c>
      <c r="AQ18" s="63"/>
      <c r="AR18" s="64">
        <f>AR5+AR9</f>
        <v>84014.320000000065</v>
      </c>
      <c r="AS18" s="63"/>
      <c r="AT18" s="64">
        <f>AT5+AT9</f>
        <v>-175041493.06241021</v>
      </c>
      <c r="AW18" s="23" t="s">
        <v>135</v>
      </c>
      <c r="AX18" s="64">
        <f>AX5+AX9</f>
        <v>-109549920.58354343</v>
      </c>
      <c r="AY18" s="72"/>
      <c r="AZ18" s="64">
        <f>AZ5+AZ9</f>
        <v>-8983869.1662128121</v>
      </c>
      <c r="BA18" s="63"/>
      <c r="BB18" s="64">
        <f>BB5+BB9</f>
        <v>-706817.78538388852</v>
      </c>
      <c r="BC18" s="63"/>
      <c r="BD18" s="64">
        <f>BD5+BD9</f>
        <v>-4198236.5446161116</v>
      </c>
      <c r="BE18" s="63"/>
      <c r="BF18" s="64">
        <f>BF5+BF9</f>
        <v>-5152091.1888104286</v>
      </c>
      <c r="BG18" s="63"/>
      <c r="BH18" s="64">
        <f>BH5+BH9</f>
        <v>47460.420000000042</v>
      </c>
      <c r="BI18" s="63"/>
      <c r="BJ18" s="64">
        <f>BJ5+BJ9</f>
        <v>-128543474.84856665</v>
      </c>
      <c r="BM18" s="23" t="s">
        <v>135</v>
      </c>
      <c r="BN18" s="64">
        <f>BN5+BN9</f>
        <v>-288661595.29266083</v>
      </c>
      <c r="BO18" s="72"/>
      <c r="BP18" s="64">
        <f>BP5+BP9</f>
        <v>-31796159.831784613</v>
      </c>
      <c r="BQ18" s="63"/>
      <c r="BR18" s="64">
        <f>BR5+BR9</f>
        <v>-3367675.0300000012</v>
      </c>
      <c r="BS18" s="63"/>
      <c r="BT18" s="64">
        <f>BT5+BT9</f>
        <v>-19885436.789999999</v>
      </c>
      <c r="BU18" s="63"/>
      <c r="BV18" s="64">
        <f>BV5+BV9</f>
        <v>-20807540.809375089</v>
      </c>
      <c r="BW18" s="63"/>
      <c r="BX18" s="64">
        <f>BX5+BX9</f>
        <v>278725.72491666768</v>
      </c>
      <c r="BY18" s="63"/>
      <c r="BZ18" s="64">
        <f>BZ5+BZ9</f>
        <v>-364239682.02890396</v>
      </c>
      <c r="CC18" s="23" t="s">
        <v>135</v>
      </c>
      <c r="CD18" s="64">
        <f>CD5+CD9</f>
        <v>-213086436.09699148</v>
      </c>
      <c r="CE18" s="72"/>
      <c r="CF18" s="64">
        <f>CF5+CF9</f>
        <v>-22560896.292042378</v>
      </c>
      <c r="CG18" s="63"/>
      <c r="CH18" s="64">
        <f>CH5+CH9</f>
        <v>-2437305.4050000384</v>
      </c>
      <c r="CI18" s="63"/>
      <c r="CJ18" s="64">
        <f>CJ5+CJ9</f>
        <v>-14917557.044999961</v>
      </c>
      <c r="CK18" s="63"/>
      <c r="CL18" s="64">
        <f>CL5+CL9</f>
        <v>-14207601.357415264</v>
      </c>
      <c r="CM18" s="63"/>
      <c r="CN18" s="64">
        <f>CN5+CN9</f>
        <v>256896.78610277828</v>
      </c>
      <c r="CO18" s="63"/>
      <c r="CP18" s="64">
        <f>CP5+CP9</f>
        <v>-266952899.41034636</v>
      </c>
      <c r="CS18" s="23" t="s">
        <v>135</v>
      </c>
      <c r="CT18" s="64">
        <f>CT5+CT9</f>
        <v>-173094877.54040885</v>
      </c>
      <c r="CU18" s="72"/>
      <c r="CV18" s="64">
        <f>CV5+CV9</f>
        <v>-15597444.255512824</v>
      </c>
      <c r="CW18" s="63"/>
      <c r="CX18" s="64">
        <f>CX5+CX9</f>
        <v>-1508675.8550000004</v>
      </c>
      <c r="CY18" s="63"/>
      <c r="CZ18" s="64">
        <f>CZ5+CZ9</f>
        <v>-7784698.4949999992</v>
      </c>
      <c r="DA18" s="63"/>
      <c r="DB18" s="64">
        <f>DB5+DB9</f>
        <v>-9778937.4179906044</v>
      </c>
      <c r="DC18" s="63"/>
      <c r="DD18" s="64">
        <f>DD5+DD9</f>
        <v>170644.08147144038</v>
      </c>
      <c r="DE18" s="63"/>
      <c r="DF18" s="64">
        <f>DF5+DF9</f>
        <v>-207593989.48244089</v>
      </c>
      <c r="DI18" s="23" t="s">
        <v>135</v>
      </c>
      <c r="DJ18" s="64">
        <f>DJ5+DJ9</f>
        <v>-149178933.34177941</v>
      </c>
      <c r="DK18" s="72"/>
      <c r="DL18" s="64">
        <f>DL5+DL9</f>
        <v>-6598169.707893189</v>
      </c>
      <c r="DM18" s="63"/>
      <c r="DN18" s="64">
        <f>DN5+DN9</f>
        <v>-684760.10749999899</v>
      </c>
      <c r="DO18" s="63"/>
      <c r="DP18" s="64">
        <f>DP5+DP9</f>
        <v>-3415666.9925000006</v>
      </c>
      <c r="DQ18" s="63"/>
      <c r="DR18" s="64">
        <f>DR5+DR9</f>
        <v>-5809714.8428943884</v>
      </c>
      <c r="DS18" s="63"/>
      <c r="DT18" s="64">
        <f>DT5+DT9</f>
        <v>85760.790000000154</v>
      </c>
      <c r="DU18" s="63"/>
      <c r="DV18" s="64">
        <f>DV5+DV9</f>
        <v>-165601484.20256698</v>
      </c>
      <c r="DY18" s="7" t="s">
        <v>42</v>
      </c>
      <c r="DZ18" s="64">
        <f>DZ5+DZ9</f>
        <v>-155309361.16316971</v>
      </c>
      <c r="EA18" s="72"/>
      <c r="EB18" s="64">
        <f>EB5+EB9</f>
        <v>-28385810.545368582</v>
      </c>
      <c r="EC18" s="63"/>
      <c r="ED18" s="64">
        <f>ED5+ED9</f>
        <v>-15664060.27</v>
      </c>
      <c r="EE18" s="63"/>
      <c r="EF18" s="64">
        <f>EF5+EF9</f>
        <v>-20579383.771657947</v>
      </c>
      <c r="EG18" s="63"/>
      <c r="EH18" s="64">
        <f>EH5+EH9</f>
        <v>806173.42566812597</v>
      </c>
      <c r="EI18" s="63"/>
      <c r="EJ18" s="64">
        <f>EJ5+EJ9</f>
        <v>-219132442.32452813</v>
      </c>
      <c r="EM18" s="7" t="s">
        <v>42</v>
      </c>
      <c r="EN18" s="12">
        <f>EN5+EN9</f>
        <v>-99161956.390229985</v>
      </c>
      <c r="EO18" s="9"/>
      <c r="EP18" s="12">
        <f>EP5+EP9</f>
        <v>-20961505.495547391</v>
      </c>
      <c r="EQ18" s="8"/>
      <c r="ER18" s="64">
        <f>ER5+ER9</f>
        <v>-10542621.630000001</v>
      </c>
      <c r="ES18" s="8"/>
      <c r="ET18" s="12">
        <f>ET5+ET9</f>
        <v>-12628101.801028373</v>
      </c>
      <c r="EU18" s="8"/>
      <c r="EV18" s="12">
        <f>EV5+EV9</f>
        <v>140796.11755233351</v>
      </c>
      <c r="EW18" s="8"/>
      <c r="EX18" s="12">
        <f>EX5+EX9</f>
        <v>-143153389.19925344</v>
      </c>
      <c r="FA18" s="7" t="s">
        <v>42</v>
      </c>
      <c r="FB18" s="12">
        <f>FB5+FB9</f>
        <v>-77424017.400085434</v>
      </c>
      <c r="FC18" s="9"/>
      <c r="FD18" s="12">
        <f>FD5+FD9</f>
        <v>-15219380.898548825</v>
      </c>
      <c r="FE18" s="8"/>
      <c r="FF18" s="64">
        <f>FF5+FF9</f>
        <v>-5679524.5200000005</v>
      </c>
      <c r="FG18" s="8"/>
      <c r="FH18" s="56">
        <f>FH5+FH9</f>
        <v>-8463651.9694898091</v>
      </c>
      <c r="FI18" s="8"/>
      <c r="FJ18" s="12">
        <f>FJ5+FJ9</f>
        <v>7742.2584839998744</v>
      </c>
      <c r="FK18" s="8"/>
      <c r="FL18" s="12">
        <f>FL5+FL9</f>
        <v>-106778832.52964006</v>
      </c>
      <c r="FO18" s="7" t="s">
        <v>42</v>
      </c>
      <c r="FP18" s="12">
        <f>FP5+FP9</f>
        <v>-54952788.111768112</v>
      </c>
      <c r="FQ18" s="9"/>
      <c r="FR18" s="12">
        <f>FR5+FR9</f>
        <v>-6899389.3664099528</v>
      </c>
      <c r="FS18" s="8"/>
      <c r="FT18" s="64">
        <f>FT5+FT9</f>
        <v>-2028903.9700000002</v>
      </c>
      <c r="FU18" s="8"/>
      <c r="FV18" s="12">
        <f>FV5+FV9</f>
        <v>-3794734.2564998604</v>
      </c>
      <c r="FW18" s="8"/>
      <c r="FX18" s="12">
        <f>FX5+FX9</f>
        <v>10798.940164687345</v>
      </c>
      <c r="FY18" s="8"/>
      <c r="FZ18" s="12">
        <f>FZ5+FZ9</f>
        <v>-67665016.764513239</v>
      </c>
      <c r="GC18" s="7" t="s">
        <v>42</v>
      </c>
      <c r="GD18" s="12">
        <f>GD5+GD9</f>
        <v>-79652125.507804558</v>
      </c>
      <c r="GE18" s="9"/>
      <c r="GF18" s="12">
        <f>GF5+GF9</f>
        <v>-23815966.564719509</v>
      </c>
      <c r="GG18" s="8"/>
      <c r="GH18" s="64">
        <f>GH5+GH9</f>
        <v>-9337844.5999999996</v>
      </c>
      <c r="GI18" s="8"/>
      <c r="GJ18" s="12">
        <f>GJ5+GJ9</f>
        <v>-5842710.0541495159</v>
      </c>
      <c r="GK18" s="8"/>
      <c r="GL18" s="12">
        <f>GL5+GL9</f>
        <v>385720.26300001424</v>
      </c>
      <c r="GM18" s="8"/>
      <c r="GN18" s="12">
        <f>GN5+GN9</f>
        <v>-118262926.46367358</v>
      </c>
      <c r="GQ18" s="7" t="s">
        <v>42</v>
      </c>
      <c r="GR18" s="12">
        <f>GR5+GR9</f>
        <v>-53030235.262577474</v>
      </c>
      <c r="GS18" s="9"/>
      <c r="GT18" s="12">
        <f>GT5+GT9</f>
        <v>-17975229.539999999</v>
      </c>
      <c r="GU18" s="8"/>
      <c r="GV18" s="64">
        <f>GV5+GV9</f>
        <v>-5196471.18</v>
      </c>
      <c r="GW18" s="8"/>
      <c r="GX18" s="12">
        <f>GX5+GX9</f>
        <v>-2112504.3024149537</v>
      </c>
      <c r="GY18" s="8"/>
      <c r="GZ18" s="12">
        <f>GZ5+GZ9</f>
        <v>-49624.357754533645</v>
      </c>
      <c r="HA18" s="8"/>
      <c r="HB18" s="12">
        <f>HB5+HB9</f>
        <v>-78364064.642746955</v>
      </c>
      <c r="HE18" s="7" t="s">
        <v>42</v>
      </c>
      <c r="HF18" s="12">
        <f>HF5+HF9</f>
        <v>-43299174.207927495</v>
      </c>
      <c r="HG18" s="9"/>
      <c r="HH18" s="12">
        <f>HH5+HH9</f>
        <v>-11800948.983199999</v>
      </c>
      <c r="HI18" s="8"/>
      <c r="HJ18" s="64">
        <f>HJ5+HJ9</f>
        <v>-3367834.3699999996</v>
      </c>
      <c r="HK18" s="8"/>
      <c r="HL18" s="56">
        <f>HL5+HL9</f>
        <v>1400083.2728071362</v>
      </c>
      <c r="HM18" s="8"/>
      <c r="HN18" s="12">
        <f>HN5+HN9</f>
        <v>-97509.351284520933</v>
      </c>
      <c r="HO18" s="8"/>
      <c r="HP18" s="12">
        <f>HP5+HP9</f>
        <v>-57165383.639604881</v>
      </c>
      <c r="HS18" s="7" t="s">
        <v>42</v>
      </c>
      <c r="HT18" s="12">
        <f>HT5+HT9</f>
        <v>-24246755.569999993</v>
      </c>
      <c r="HU18" s="9"/>
      <c r="HV18" s="12">
        <f>HV5+HV9</f>
        <v>-5613508.9199999999</v>
      </c>
      <c r="HW18" s="8"/>
      <c r="HX18" s="64">
        <f>HX5+HX9</f>
        <v>-1679254.61</v>
      </c>
      <c r="HY18" s="8"/>
      <c r="HZ18" s="12">
        <f>HZ5+HZ9</f>
        <v>-1666435.7405000001</v>
      </c>
      <c r="IA18" s="8"/>
      <c r="IB18" s="12">
        <f>IB5+IB9</f>
        <v>-88266.44688523165</v>
      </c>
      <c r="IC18" s="8"/>
      <c r="ID18" s="12">
        <f>ID5+ID9</f>
        <v>-33294221.287385225</v>
      </c>
      <c r="IG18" s="7" t="s">
        <v>42</v>
      </c>
      <c r="IH18" s="12">
        <f>IH5+IH9</f>
        <v>-82494929.569999993</v>
      </c>
      <c r="II18" s="9"/>
      <c r="IJ18" s="12">
        <f>IJ5+IJ9</f>
        <v>-21138024.469999999</v>
      </c>
      <c r="IK18" s="8"/>
      <c r="IL18" s="64">
        <f>IL5+IL9</f>
        <v>-5148242.1800000006</v>
      </c>
      <c r="IM18" s="8"/>
      <c r="IN18" s="12">
        <f>IN5+IN9</f>
        <v>-6199543.6519999988</v>
      </c>
      <c r="IO18" s="8"/>
      <c r="IP18" s="12">
        <f>IP5+IP9</f>
        <v>-178037.43999998504</v>
      </c>
      <c r="IQ18" s="8"/>
      <c r="IR18" s="12">
        <f>IR5+IR9</f>
        <v>-115158777.31199998</v>
      </c>
      <c r="IU18" s="7" t="s">
        <v>42</v>
      </c>
      <c r="IV18" s="12">
        <f>IV5+IV9</f>
        <v>-44280766.119999997</v>
      </c>
      <c r="IW18" s="9"/>
      <c r="IX18" s="12">
        <f>IX5+IX9</f>
        <v>-15329910.020000003</v>
      </c>
      <c r="IY18" s="8"/>
      <c r="IZ18" s="64">
        <f>IZ5+IZ9</f>
        <v>-4059241.44</v>
      </c>
      <c r="JA18" s="8"/>
      <c r="JB18" s="12">
        <f>JB5+JB9</f>
        <v>-4286988.9514999995</v>
      </c>
      <c r="JC18" s="8"/>
      <c r="JD18" s="12">
        <f>JD5+JD9</f>
        <v>-90883.717560894322</v>
      </c>
      <c r="JE18" s="8"/>
      <c r="JF18" s="12">
        <f>JF5+JF9</f>
        <v>-68047790.249060899</v>
      </c>
      <c r="JI18" s="7" t="s">
        <v>42</v>
      </c>
      <c r="JJ18" s="12">
        <f>JJ5+JJ9</f>
        <v>-36664752.229999997</v>
      </c>
      <c r="JK18" s="9"/>
      <c r="JL18" s="12">
        <f>JL5+JL9</f>
        <v>-10283337.59</v>
      </c>
      <c r="JM18" s="8"/>
      <c r="JN18" s="64">
        <f>JN5+JN9</f>
        <v>-2129258.77</v>
      </c>
      <c r="JO18" s="8"/>
      <c r="JP18" s="12">
        <f>JP5+JP9</f>
        <v>-3345828.6710000001</v>
      </c>
      <c r="JQ18" s="8"/>
      <c r="JR18" s="12">
        <f>JR5+JR9</f>
        <v>-7925.2358549204655</v>
      </c>
      <c r="JS18" s="8"/>
      <c r="JT18" s="12">
        <f>JT5+JT9</f>
        <v>-52431102.496854916</v>
      </c>
      <c r="JW18" s="7" t="s">
        <v>42</v>
      </c>
      <c r="JX18" s="12">
        <f>JX5+JX9</f>
        <v>-21311001.309999999</v>
      </c>
      <c r="JY18" s="9"/>
      <c r="JZ18" s="12">
        <f>JZ5+JZ9</f>
        <v>-4856967.22</v>
      </c>
      <c r="KA18" s="8"/>
      <c r="KB18" s="64">
        <f>KB5+KB9</f>
        <v>-986335.2300000001</v>
      </c>
      <c r="KC18" s="8"/>
      <c r="KD18" s="12">
        <f>KD5+KD9</f>
        <v>-1540773.7105</v>
      </c>
      <c r="KE18" s="8"/>
      <c r="KF18" s="12">
        <f>KF5+KF9</f>
        <v>80531.748586547677</v>
      </c>
      <c r="KG18" s="8"/>
      <c r="KH18" s="12">
        <f>KH5+KH9</f>
        <v>-28614545.721913449</v>
      </c>
      <c r="KK18" s="7" t="s">
        <v>42</v>
      </c>
      <c r="KL18" s="12">
        <f>KL5+KL9</f>
        <v>-79846940.36999999</v>
      </c>
      <c r="KM18" s="9"/>
      <c r="KN18" s="12">
        <f>KN5+KN9</f>
        <v>-20555967.599999998</v>
      </c>
      <c r="KO18" s="8"/>
      <c r="KP18" s="64">
        <f>KP5+KP9</f>
        <v>-4371109.4399999995</v>
      </c>
      <c r="KQ18" s="8"/>
      <c r="KR18" s="12">
        <f>KR5+KR9</f>
        <v>-6891244.9220000003</v>
      </c>
      <c r="KS18" s="8"/>
      <c r="KT18" s="12">
        <f>KT5+KT9</f>
        <v>169639.06615440501</v>
      </c>
      <c r="KU18" s="8"/>
      <c r="KV18" s="12">
        <f>KV5+KV9</f>
        <v>-111495623.26584558</v>
      </c>
      <c r="KY18" s="7" t="s">
        <v>42</v>
      </c>
      <c r="KZ18" s="12">
        <f>KZ5+KZ9</f>
        <v>-63365479.799999997</v>
      </c>
      <c r="LA18" s="9"/>
      <c r="LB18" s="12">
        <f>LB5+LB9</f>
        <v>-15412006.349999998</v>
      </c>
      <c r="LC18" s="8"/>
      <c r="LD18" s="64">
        <f>LD5+LD9</f>
        <v>-3454748.1500000004</v>
      </c>
      <c r="LE18" s="8"/>
      <c r="LF18" s="12">
        <f>LF5+LF9</f>
        <v>-4763345.7715000007</v>
      </c>
      <c r="LG18" s="8"/>
      <c r="LH18" s="12">
        <f>LH5+LH9</f>
        <v>108714.64767688466</v>
      </c>
      <c r="LI18" s="8"/>
      <c r="LJ18" s="12">
        <f>LJ5+LJ9</f>
        <v>-86886865.423823118</v>
      </c>
      <c r="LM18" s="7" t="s">
        <v>42</v>
      </c>
      <c r="LN18" s="12">
        <f>LN5+LN9</f>
        <v>-49707208.510000005</v>
      </c>
      <c r="LO18" s="9"/>
      <c r="LP18" s="12">
        <f>LP5+LP9</f>
        <v>-11186986.640000001</v>
      </c>
      <c r="LQ18" s="8"/>
      <c r="LR18" s="56">
        <f>LR5+LR9</f>
        <v>-2351290.3000000003</v>
      </c>
      <c r="LS18" s="8"/>
      <c r="LT18" s="12">
        <f>LT5+LT9</f>
        <v>-3225721.7710000006</v>
      </c>
      <c r="LU18" s="8"/>
      <c r="LV18" s="12">
        <f>LV5+LV9</f>
        <v>46064.649914934533</v>
      </c>
      <c r="LW18" s="8"/>
      <c r="LX18" s="12">
        <f>LX5+LX9</f>
        <v>-66425142.571085058</v>
      </c>
      <c r="LZ18" s="7" t="s">
        <v>42</v>
      </c>
      <c r="MA18" s="12">
        <f>MA5+MA9</f>
        <v>-25182319.629999999</v>
      </c>
      <c r="MB18" s="9"/>
      <c r="MC18" s="12">
        <f>MC5+MC9</f>
        <v>-5292440.28</v>
      </c>
      <c r="MD18" s="8"/>
      <c r="ME18" s="56">
        <f>ME5+ME9</f>
        <v>-1210291.9100000001</v>
      </c>
      <c r="MF18" s="8"/>
      <c r="MG18" s="12">
        <f>MG5+MG9</f>
        <v>-1671157.7505000001</v>
      </c>
      <c r="MH18" s="8"/>
      <c r="MI18" s="12">
        <f>MI5+MI9</f>
        <v>-9266.8957400125219</v>
      </c>
      <c r="MJ18" s="8"/>
      <c r="MK18" s="12">
        <f>MK5+MK9</f>
        <v>-33365476.466240011</v>
      </c>
      <c r="ML18" s="8"/>
      <c r="MM18" s="7" t="s">
        <v>42</v>
      </c>
      <c r="MN18" s="12">
        <f>MN5+MN9</f>
        <v>-92643171.650000006</v>
      </c>
      <c r="MO18" s="9"/>
      <c r="MP18" s="12">
        <f>MP5+MP9</f>
        <v>-15132155.780000001</v>
      </c>
      <c r="MQ18" s="8"/>
      <c r="MR18" s="64">
        <f>MR5+MR9</f>
        <v>-3509902.8299999991</v>
      </c>
      <c r="MS18" s="8"/>
      <c r="MT18" s="12">
        <f>MT5+MT9</f>
        <v>-8894349.1520000007</v>
      </c>
      <c r="MU18" s="8"/>
      <c r="MV18" s="12">
        <f>MV5+MV9</f>
        <v>231330.13000000035</v>
      </c>
      <c r="MW18" s="8"/>
      <c r="MX18" s="12">
        <f>MX5+MX9</f>
        <v>-119948249.28199999</v>
      </c>
      <c r="NA18" s="7" t="s">
        <v>42</v>
      </c>
      <c r="NB18" s="12">
        <f>NB5+NB9</f>
        <v>-68323155.549999997</v>
      </c>
      <c r="NC18" s="9"/>
      <c r="ND18" s="12">
        <f>ND5+ND9</f>
        <v>-10916762.619999999</v>
      </c>
      <c r="NE18" s="8"/>
      <c r="NF18" s="64">
        <f>NF5+NF9</f>
        <v>-2185697.23</v>
      </c>
      <c r="NG18" s="8"/>
      <c r="NH18" s="12">
        <f>NH5+NH9</f>
        <v>-5892665.8114999998</v>
      </c>
      <c r="NI18" s="8"/>
      <c r="NJ18" s="12">
        <f>NJ5+NJ9</f>
        <v>157379.53500000015</v>
      </c>
      <c r="NK18" s="8"/>
      <c r="NL18" s="12">
        <f>NL5+NL9</f>
        <v>-87160901.676499993</v>
      </c>
      <c r="NO18" s="7" t="s">
        <v>42</v>
      </c>
      <c r="NP18" s="12">
        <f>NP5+NP9</f>
        <v>-59670087.420000002</v>
      </c>
      <c r="NQ18" s="9"/>
      <c r="NR18" s="12">
        <f>NR5+NR9</f>
        <v>-6589831.0199999996</v>
      </c>
      <c r="NS18" s="8"/>
      <c r="NT18" s="56">
        <f>NT5+NT9</f>
        <v>-1198439.9299999997</v>
      </c>
      <c r="NU18" s="8"/>
      <c r="NV18" s="12">
        <f>NV5+NV9</f>
        <v>-4066619.8556070803</v>
      </c>
      <c r="NW18" s="8"/>
      <c r="NX18" s="12">
        <f>NX5+NX9</f>
        <v>76359.820000000298</v>
      </c>
      <c r="NY18" s="8"/>
      <c r="NZ18" s="12">
        <f>NZ5+NZ9</f>
        <v>-71448618.405607074</v>
      </c>
      <c r="OB18" s="7" t="s">
        <v>42</v>
      </c>
      <c r="OC18" s="12">
        <f>OC5+OC9</f>
        <v>-48827430.620000005</v>
      </c>
      <c r="OD18" s="9"/>
      <c r="OE18" s="12">
        <f>OE5+OE9</f>
        <v>-3685534.16</v>
      </c>
      <c r="OF18" s="8"/>
      <c r="OG18" s="56">
        <f>OG5+OG9</f>
        <v>-684638.23</v>
      </c>
      <c r="OH18" s="8"/>
      <c r="OI18" s="12">
        <f>OI5+OI9</f>
        <v>-1601666.6251070802</v>
      </c>
      <c r="OJ18" s="8"/>
      <c r="OK18" s="12">
        <f>OK5+OK9</f>
        <v>6497.3449999996228</v>
      </c>
      <c r="OL18" s="8"/>
      <c r="OM18" s="12">
        <f>OM5+OM9</f>
        <v>-54792772.290107079</v>
      </c>
      <c r="OO18" s="7" t="s">
        <v>42</v>
      </c>
      <c r="OP18" s="12">
        <f>OP5+OP9</f>
        <v>-65843904.280000001</v>
      </c>
      <c r="OQ18" s="9"/>
      <c r="OR18" s="12">
        <f>OR5+OR9</f>
        <v>-20486945.800000001</v>
      </c>
      <c r="OS18" s="8"/>
      <c r="OT18" s="56">
        <f>OT5+OT9</f>
        <v>-3232677.0500000007</v>
      </c>
      <c r="OU18" s="8"/>
      <c r="OV18" s="12">
        <f>OV5+OV9</f>
        <v>447567.50976666529</v>
      </c>
      <c r="OW18" s="8"/>
      <c r="OX18" s="12">
        <f>OX5+OX9</f>
        <v>-278754.4978333218</v>
      </c>
      <c r="OY18" s="8"/>
      <c r="OZ18" s="12">
        <f>OZ5+OZ9</f>
        <v>-89394714.118066654</v>
      </c>
      <c r="PA18" s="23"/>
      <c r="PB18" s="7" t="s">
        <v>42</v>
      </c>
      <c r="PC18" s="12">
        <f>PC5+PC9</f>
        <v>-49988929.580000006</v>
      </c>
      <c r="PD18" s="9"/>
      <c r="PE18" s="12">
        <f>PE5+PE9</f>
        <v>-17926323.269999996</v>
      </c>
      <c r="PF18" s="8"/>
      <c r="PG18" s="41">
        <f>PG5+PG9</f>
        <v>0</v>
      </c>
      <c r="PH18" s="12">
        <f>PH5+PH9</f>
        <v>0</v>
      </c>
      <c r="PI18" s="12">
        <f>PI5+PI9</f>
        <v>4643692.1202666685</v>
      </c>
      <c r="PJ18" s="8"/>
      <c r="PK18" s="12">
        <f>PK5+PK9</f>
        <v>-414359.17529166676</v>
      </c>
      <c r="PL18" s="8"/>
      <c r="PM18" s="12">
        <f>PM5+PM9</f>
        <v>-63685919.905024983</v>
      </c>
      <c r="PN18" s="23"/>
      <c r="PO18" s="7" t="s">
        <v>42</v>
      </c>
      <c r="PP18" s="12">
        <f>PP5+PP9</f>
        <v>-44392699.75</v>
      </c>
      <c r="PQ18" s="9"/>
      <c r="PR18" s="12">
        <f>PR5+PR9</f>
        <v>-14154249.800000003</v>
      </c>
      <c r="PS18" s="8"/>
      <c r="PT18" s="41">
        <f>PT5+PT9</f>
        <v>0</v>
      </c>
      <c r="PU18" s="12"/>
      <c r="PV18" s="12">
        <f>PV5+PV9</f>
        <v>3101632.6396666667</v>
      </c>
      <c r="PW18" s="8"/>
      <c r="PX18" s="12">
        <f>PX5+PX9</f>
        <v>-377595.39716666751</v>
      </c>
      <c r="PY18" s="8"/>
      <c r="PZ18" s="12">
        <f>PZ5+PZ9</f>
        <v>-55822912.307500005</v>
      </c>
      <c r="QA18" s="23"/>
      <c r="QB18" s="7" t="s">
        <v>42</v>
      </c>
      <c r="QC18" s="12">
        <f>QC5+QC9</f>
        <v>-40699994.310000002</v>
      </c>
      <c r="QD18" s="9"/>
      <c r="QE18" s="12">
        <f>QE5+QE9</f>
        <v>-11467848.91</v>
      </c>
      <c r="QF18" s="8"/>
      <c r="QG18" s="41">
        <f>QG5+QG9</f>
        <v>0</v>
      </c>
      <c r="QH18" s="12">
        <f>QH5+QH9</f>
        <v>0</v>
      </c>
      <c r="QI18" s="12">
        <f>QI5+QI9</f>
        <v>-3250019.4499999993</v>
      </c>
      <c r="QJ18" s="8"/>
      <c r="QK18" s="12">
        <f>QK5+QK9</f>
        <v>-155420.28979166597</v>
      </c>
      <c r="QL18" s="8"/>
      <c r="QM18" s="12">
        <f>QM5+QM9</f>
        <v>-55573282.95979166</v>
      </c>
      <c r="QN18" s="23"/>
      <c r="QO18" s="7" t="s">
        <v>42</v>
      </c>
      <c r="QP18" s="12">
        <f>QP5+QP9</f>
        <v>-13226987.489999998</v>
      </c>
      <c r="QQ18" s="9"/>
      <c r="QR18" s="12">
        <f>QR5+QR9</f>
        <v>-8147210.9500000002</v>
      </c>
      <c r="QS18" s="8"/>
      <c r="QT18" s="12">
        <f>QT5+QT9</f>
        <v>-2731801.5899999994</v>
      </c>
      <c r="QU18" s="12">
        <f>QU5+QU9</f>
        <v>0</v>
      </c>
      <c r="QV18" s="12">
        <f>QV5+QV9</f>
        <v>-2091857.3499999996</v>
      </c>
      <c r="QW18" s="8"/>
      <c r="QX18" s="12">
        <f>QX5+QX9</f>
        <v>-158984.5339166671</v>
      </c>
      <c r="QY18" s="8"/>
      <c r="QZ18" s="12">
        <f>QZ5+QZ9</f>
        <v>-26356841.91391667</v>
      </c>
      <c r="RA18" s="23"/>
      <c r="RB18" s="7" t="s">
        <v>42</v>
      </c>
      <c r="RC18" s="12">
        <f>RC5+RC9</f>
        <v>-7637715.6799999997</v>
      </c>
      <c r="RD18" s="9"/>
      <c r="RE18" s="12">
        <f>RE5+RE9</f>
        <v>-4884896.1500000004</v>
      </c>
      <c r="RF18" s="8"/>
      <c r="RG18" s="12">
        <f>RG5+RG9</f>
        <v>-1738240.17</v>
      </c>
      <c r="RH18" s="12">
        <f>RH5+RH9</f>
        <v>0</v>
      </c>
      <c r="RI18" s="12">
        <f>RI5+RI9</f>
        <v>-1455991.8299999996</v>
      </c>
      <c r="RJ18" s="8"/>
      <c r="RK18" s="12">
        <f>RK5+RK9</f>
        <v>-194651.56000000006</v>
      </c>
      <c r="RL18" s="8"/>
      <c r="RM18" s="12">
        <f>RM5+RM9</f>
        <v>-15911495.390000001</v>
      </c>
      <c r="RN18" s="23"/>
      <c r="RO18" s="7" t="s">
        <v>42</v>
      </c>
      <c r="RP18" s="12">
        <f>RP5+RP9</f>
        <v>-3436179.06</v>
      </c>
      <c r="RQ18" s="9"/>
      <c r="RR18" s="12">
        <f>RR5+RR9</f>
        <v>-2388261.2400000002</v>
      </c>
      <c r="RS18" s="8"/>
      <c r="RT18" s="12">
        <f>RT5+RT9</f>
        <v>-858567.35</v>
      </c>
      <c r="RU18" s="12">
        <f>RU5+RU9</f>
        <v>0</v>
      </c>
      <c r="RV18" s="12">
        <f>RV5+RV9</f>
        <v>-528476.69999999972</v>
      </c>
      <c r="RW18" s="8"/>
      <c r="RX18" s="12">
        <f>RX5+RX9</f>
        <v>-67179.260000000824</v>
      </c>
      <c r="RY18" s="8"/>
      <c r="RZ18" s="36">
        <f>RZ5+RZ9</f>
        <v>-7278663.6100000003</v>
      </c>
      <c r="SA18" s="23"/>
      <c r="SB18" s="7" t="s">
        <v>42</v>
      </c>
      <c r="SC18" s="12">
        <f>SC5+SC9</f>
        <v>-29752037.359999999</v>
      </c>
      <c r="SD18" s="9"/>
      <c r="SE18" s="12">
        <f>SE5+SE9</f>
        <v>-9381271.3699999973</v>
      </c>
      <c r="SF18" s="8"/>
      <c r="SG18" s="12">
        <f>SG5+SG9</f>
        <v>-3594622.5</v>
      </c>
      <c r="SH18" s="12">
        <f>SH5+SH9</f>
        <v>0</v>
      </c>
      <c r="SI18" s="12">
        <f>SI5+SI9</f>
        <v>-963154.9599999981</v>
      </c>
      <c r="SJ18" s="8"/>
      <c r="SK18" s="12">
        <f>SK5+SK9</f>
        <v>-2188330.1400000025</v>
      </c>
      <c r="SL18" s="8"/>
      <c r="SM18" s="12">
        <f>SM5+SM9</f>
        <v>-45879416.329999998</v>
      </c>
      <c r="SN18" s="23"/>
      <c r="SO18" s="7" t="s">
        <v>42</v>
      </c>
      <c r="SP18" s="12">
        <f>SP5+SP9</f>
        <v>-21180656.199999999</v>
      </c>
      <c r="SQ18" s="9"/>
      <c r="SR18" s="12">
        <f>SR5+SR9</f>
        <v>-6706274.8299999982</v>
      </c>
      <c r="SS18" s="8"/>
      <c r="ST18" s="12">
        <f>ST5+ST9</f>
        <v>-2645184.42</v>
      </c>
      <c r="SU18" s="12">
        <f>SU5+SU9</f>
        <v>0</v>
      </c>
      <c r="SV18" s="12">
        <f>SV5+SV9</f>
        <v>-1559651.1400000001</v>
      </c>
      <c r="SW18" s="8"/>
      <c r="SX18" s="12">
        <f>SX5+SX9</f>
        <v>-1093211.4499999997</v>
      </c>
      <c r="SY18" s="8"/>
      <c r="SZ18" s="12">
        <f>SZ5+SZ9</f>
        <v>-33184978.039999999</v>
      </c>
      <c r="TA18" s="23"/>
      <c r="TB18" s="7" t="s">
        <v>42</v>
      </c>
      <c r="TC18" s="12">
        <f>TC5+TC9</f>
        <v>-11844504.710000001</v>
      </c>
      <c r="TD18" s="9"/>
      <c r="TE18" s="12">
        <f>TE5+TE9</f>
        <v>-4179712.4200000009</v>
      </c>
      <c r="TF18" s="8"/>
      <c r="TG18" s="12">
        <f>TG5+TG9</f>
        <v>-1645980.36</v>
      </c>
      <c r="TH18" s="12">
        <f>TH5+TH9</f>
        <v>0</v>
      </c>
      <c r="TI18" s="12">
        <f>TI5+TI9</f>
        <v>-868049.45000000065</v>
      </c>
      <c r="TJ18" s="8"/>
      <c r="TK18" s="12">
        <f>TK5+TK9</f>
        <v>-927884.28999999957</v>
      </c>
      <c r="TL18" s="8"/>
      <c r="TM18" s="12">
        <f>TM5+TM9</f>
        <v>-19466131.230000004</v>
      </c>
      <c r="TN18" s="23"/>
      <c r="TO18" s="7" t="s">
        <v>42</v>
      </c>
      <c r="TP18" s="12">
        <f>TP5+TP9</f>
        <v>-3833105.3600000003</v>
      </c>
      <c r="TQ18" s="9"/>
      <c r="TR18" s="12">
        <f>TR5+TR9</f>
        <v>-2139663.42</v>
      </c>
      <c r="TS18" s="8"/>
      <c r="TT18" s="12">
        <f>TT5+TT9</f>
        <v>-910148.4</v>
      </c>
      <c r="TU18" s="12">
        <f>TU5+TU9</f>
        <v>0</v>
      </c>
      <c r="TV18" s="12">
        <f>TV5+TV9</f>
        <v>-767570.49999999977</v>
      </c>
      <c r="TW18" s="8"/>
      <c r="TX18" s="12">
        <f>TX5+TX9</f>
        <v>-18821.710000000079</v>
      </c>
      <c r="TY18" s="8"/>
      <c r="TZ18" s="12">
        <f>TZ5+TZ9</f>
        <v>-7669309.3900000006</v>
      </c>
      <c r="UA18" s="23"/>
      <c r="UB18" s="7" t="s">
        <v>42</v>
      </c>
      <c r="UC18" s="12">
        <f>UC5+UC9</f>
        <v>-64487563.640000001</v>
      </c>
      <c r="UD18" s="9"/>
      <c r="UE18" s="12">
        <f>UE5+UE9</f>
        <v>-10800485.150000002</v>
      </c>
      <c r="UF18" s="8"/>
      <c r="UG18" s="12">
        <f>UG5+UG9</f>
        <v>-3509079.4399999995</v>
      </c>
      <c r="UH18" s="12">
        <f>UH5+UH9</f>
        <v>0</v>
      </c>
      <c r="UI18" s="12">
        <f>UI5+UI9</f>
        <v>-4269927.02999999</v>
      </c>
      <c r="UJ18" s="8"/>
      <c r="UK18" s="12">
        <f>UK5+UK9</f>
        <v>-197936.11999999452</v>
      </c>
      <c r="UL18" s="8"/>
      <c r="UM18" s="12">
        <f>UM5+UM9</f>
        <v>-83264991.379999995</v>
      </c>
      <c r="UN18" s="23"/>
      <c r="UO18" s="7" t="s">
        <v>42</v>
      </c>
      <c r="UP18" s="12">
        <f>UP5+UP9</f>
        <v>-44644948.549999997</v>
      </c>
      <c r="UQ18" s="9"/>
      <c r="UR18" s="12">
        <f>UR5+UR9</f>
        <v>-7636276.75</v>
      </c>
      <c r="US18" s="8"/>
      <c r="UT18" s="12">
        <f>UT5+UT9</f>
        <v>-2453632.66</v>
      </c>
      <c r="UU18" s="12">
        <f>UU5+UU9</f>
        <v>0</v>
      </c>
      <c r="UV18" s="12">
        <f>UV5+UV9</f>
        <v>-3512585.4699999969</v>
      </c>
      <c r="UW18" s="8"/>
      <c r="UX18" s="12">
        <f>UX5+UX9</f>
        <v>-118662.68999999575</v>
      </c>
      <c r="UY18" s="8"/>
      <c r="UZ18" s="12">
        <f>UZ5+UZ9</f>
        <v>-58366106.11999999</v>
      </c>
      <c r="VA18" s="23"/>
      <c r="VB18" s="23" t="s">
        <v>42</v>
      </c>
      <c r="VC18" s="12">
        <v>-1186642.7800000012</v>
      </c>
      <c r="VD18" s="9"/>
      <c r="VE18" s="12">
        <v>248218.62999999896</v>
      </c>
      <c r="VF18" s="8"/>
      <c r="VG18" s="12">
        <v>-47986.520000000019</v>
      </c>
      <c r="VH18" s="8"/>
      <c r="VI18" s="12">
        <v>-2366694.21</v>
      </c>
      <c r="VJ18" s="8"/>
      <c r="VK18" s="12">
        <v>-87880.489999999758</v>
      </c>
      <c r="VM18" s="12">
        <v>-3440985.370000001</v>
      </c>
      <c r="VN18" s="23"/>
      <c r="VO18" s="23" t="s">
        <v>42</v>
      </c>
      <c r="VP18" s="12">
        <f>388.270630000001*1000</f>
        <v>388270.63000000099</v>
      </c>
      <c r="VQ18" s="9"/>
      <c r="VR18" s="12">
        <f>11.6926300000005*1000</f>
        <v>11692.630000000501</v>
      </c>
      <c r="VS18" s="8"/>
      <c r="VT18" s="12">
        <f>-85.50053*1000</f>
        <v>-85500.53</v>
      </c>
      <c r="VU18" s="8"/>
      <c r="VV18" s="12">
        <f>-1099.9016*1000</f>
        <v>-1099901.5999999999</v>
      </c>
      <c r="VW18" s="8"/>
      <c r="VX18" s="12">
        <f>-28.6155899999999*1000</f>
        <v>-28615.589999999902</v>
      </c>
      <c r="VZ18" s="12">
        <f>-814.054459999998*1000</f>
        <v>-814054.45999999798</v>
      </c>
      <c r="WA18" s="23"/>
      <c r="WB18" s="7" t="s">
        <v>42</v>
      </c>
      <c r="WC18" s="12">
        <f>WC5+WC9</f>
        <v>-52217010.289999992</v>
      </c>
      <c r="WD18" s="9"/>
      <c r="WE18" s="12">
        <f>WE5+WE9</f>
        <v>-12214078.01</v>
      </c>
      <c r="WF18" s="8"/>
      <c r="WG18" s="12">
        <f>WG5+WG9</f>
        <v>-2830858.09</v>
      </c>
      <c r="WH18" s="12"/>
      <c r="WI18" s="12">
        <f>WI5+WI9</f>
        <v>-4603568.67</v>
      </c>
      <c r="WJ18" s="8"/>
      <c r="WK18" s="12">
        <f>WK5+WK9</f>
        <v>-968497.69999999739</v>
      </c>
      <c r="WL18" s="8"/>
      <c r="WM18" s="12">
        <f>WM5+WM9</f>
        <v>-72834012.75999999</v>
      </c>
      <c r="WN18" s="23"/>
      <c r="WO18" s="7" t="s">
        <v>42</v>
      </c>
      <c r="WP18" s="12">
        <f>WP5+WP9</f>
        <v>-30898360.009999998</v>
      </c>
      <c r="WQ18" s="9"/>
      <c r="WR18" s="12">
        <f>WR5+WR9</f>
        <v>-9211451.0520599335</v>
      </c>
      <c r="WS18" s="8"/>
      <c r="WT18" s="12">
        <f>WT5+WT9</f>
        <v>-3165318</v>
      </c>
      <c r="WU18" s="12">
        <f>WU5+WU9</f>
        <v>0</v>
      </c>
      <c r="WV18" s="12">
        <f>WV5+WV9</f>
        <v>-2184813</v>
      </c>
      <c r="WW18" s="8"/>
      <c r="WX18" s="12">
        <f>WX5+WX9</f>
        <v>0</v>
      </c>
      <c r="WY18" s="8"/>
      <c r="WZ18" s="12">
        <f>WZ5+WZ9</f>
        <v>-45459942.062059931</v>
      </c>
      <c r="XA18" s="23"/>
      <c r="XB18" s="23" t="s">
        <v>42</v>
      </c>
      <c r="XC18" s="12">
        <v>367165.09293379821</v>
      </c>
      <c r="XD18" s="9"/>
      <c r="XE18" s="12">
        <v>2309018.8200000012</v>
      </c>
      <c r="XF18" s="8"/>
      <c r="XG18" s="12">
        <v>290267.74000000046</v>
      </c>
      <c r="XH18" s="8"/>
      <c r="XI18" s="12">
        <v>-1585173.3499999982</v>
      </c>
      <c r="XJ18" s="8"/>
      <c r="XK18" s="12">
        <v>0</v>
      </c>
      <c r="XM18" s="12">
        <v>1381278.3029337972</v>
      </c>
      <c r="XN18" s="8"/>
      <c r="XO18" s="23" t="s">
        <v>42</v>
      </c>
      <c r="XP18" s="12">
        <f>-667.46335*1000</f>
        <v>-667463.35</v>
      </c>
      <c r="XQ18" s="9"/>
      <c r="XR18" s="12">
        <f>1103.06674*1000</f>
        <v>1103066.74</v>
      </c>
      <c r="XS18" s="8"/>
      <c r="XT18" s="12">
        <f>195.58921*1000</f>
        <v>195589.21000000002</v>
      </c>
      <c r="XU18" s="8">
        <v>0</v>
      </c>
      <c r="XV18" s="12">
        <f>-720.039583533103*1000</f>
        <v>-720039.583533103</v>
      </c>
      <c r="XW18" s="8"/>
      <c r="XX18" s="12">
        <f>361.24702*1000</f>
        <v>361247.02</v>
      </c>
      <c r="XZ18" s="12">
        <f>272.400036466897*1000</f>
        <v>272400.036466897</v>
      </c>
      <c r="YA18" s="8"/>
      <c r="YB18" s="23" t="s">
        <v>42</v>
      </c>
      <c r="YC18" s="12">
        <f>YC5+YC9</f>
        <v>-46054032.030000001</v>
      </c>
      <c r="YD18" s="9"/>
      <c r="YE18" s="12">
        <f>YE5+YE9</f>
        <v>-11460017.679999998</v>
      </c>
      <c r="YF18" s="8"/>
      <c r="YG18" s="12">
        <f>YG5+YG9</f>
        <v>-5180146.49</v>
      </c>
      <c r="YH18" s="8"/>
      <c r="YI18" s="12">
        <f>YI5+YI9</f>
        <v>-2674779.3576676352</v>
      </c>
      <c r="YJ18" s="8"/>
      <c r="YK18" s="12">
        <f>YK5-YK9</f>
        <v>-8964766.3787954226</v>
      </c>
      <c r="YM18" s="12">
        <f>YM5+YM9</f>
        <v>-66898534.523453854</v>
      </c>
      <c r="YN18" s="8"/>
      <c r="YO18" s="7" t="s">
        <v>42</v>
      </c>
      <c r="YP18" s="12">
        <f>YP5+YP9</f>
        <v>-27643710.150000002</v>
      </c>
      <c r="YQ18" s="9"/>
      <c r="YR18" s="12">
        <f>YR5+YR9</f>
        <v>-8454958.3999999985</v>
      </c>
      <c r="YS18" s="8"/>
      <c r="YT18" s="12">
        <f>YT5+YT9</f>
        <v>-3976316</v>
      </c>
      <c r="YU18" s="8"/>
      <c r="YV18" s="12">
        <f>YV5+YV9</f>
        <v>-1385708.4669409906</v>
      </c>
      <c r="YW18" s="8"/>
      <c r="YX18" s="12">
        <f>YX5-YX9</f>
        <v>-7976324.9199999999</v>
      </c>
      <c r="YZ18" s="12">
        <f>YZ5+YZ9</f>
        <v>-41460693.016940989</v>
      </c>
    </row>
    <row r="19" spans="1:676">
      <c r="A19" s="4" t="s">
        <v>17</v>
      </c>
      <c r="B19" s="2">
        <v>-9750820.3000000007</v>
      </c>
      <c r="C19" s="71"/>
      <c r="D19" s="2">
        <v>-3553452.39</v>
      </c>
      <c r="E19" s="71"/>
      <c r="F19" s="2">
        <v>-951028.89</v>
      </c>
      <c r="G19" s="71"/>
      <c r="H19" s="2">
        <v>-594313.93999999994</v>
      </c>
      <c r="I19" s="71"/>
      <c r="J19" s="2">
        <v>-6309037.6799999997</v>
      </c>
      <c r="K19" s="71"/>
      <c r="L19" s="2">
        <v>188299.99</v>
      </c>
      <c r="M19" s="61"/>
      <c r="N19" s="61">
        <f t="shared" ref="N19" si="48">SUM(B19:L19)</f>
        <v>-20970353.210000005</v>
      </c>
      <c r="Q19" s="4" t="s">
        <v>17</v>
      </c>
      <c r="R19" s="61">
        <v>-7009598.5754085649</v>
      </c>
      <c r="S19" s="69"/>
      <c r="T19" s="61">
        <v>-2649286.6850271565</v>
      </c>
      <c r="U19" s="61"/>
      <c r="V19" s="61">
        <v>-707199.72500000673</v>
      </c>
      <c r="X19" s="61">
        <v>-404792.89500000025</v>
      </c>
      <c r="Y19" s="61"/>
      <c r="Z19" s="61">
        <v>-4819167.7447379185</v>
      </c>
      <c r="AA19" s="61"/>
      <c r="AB19" s="61">
        <v>141283.34</v>
      </c>
      <c r="AC19" s="61"/>
      <c r="AD19" s="61">
        <f t="shared" ref="AD19" si="49">SUM(R19:AB19)</f>
        <v>-15448762.285173647</v>
      </c>
      <c r="AG19" s="4" t="s">
        <v>17</v>
      </c>
      <c r="AH19" s="2">
        <v>-4482037.5061522741</v>
      </c>
      <c r="AI19" s="69"/>
      <c r="AJ19" s="2">
        <v>-1754004.1820680327</v>
      </c>
      <c r="AK19" s="61"/>
      <c r="AL19" s="2">
        <v>-441808.14500000054</v>
      </c>
      <c r="AM19" s="2"/>
      <c r="AN19" s="2">
        <v>-264832.91500000173</v>
      </c>
      <c r="AO19" s="61"/>
      <c r="AP19" s="2">
        <v>-3292959.8784815026</v>
      </c>
      <c r="AQ19" s="61"/>
      <c r="AR19" s="2">
        <v>94920.84</v>
      </c>
      <c r="AS19" s="61"/>
      <c r="AT19" s="61">
        <f t="shared" ref="AT19" si="50">SUM(AH19:AR19)</f>
        <v>-10140721.786701813</v>
      </c>
      <c r="AW19" s="4" t="s">
        <v>17</v>
      </c>
      <c r="AX19" s="2">
        <v>-2156093.0129415463</v>
      </c>
      <c r="AY19" s="69"/>
      <c r="AZ19" s="2">
        <v>-889963.47716343089</v>
      </c>
      <c r="BA19" s="61"/>
      <c r="BB19" s="2">
        <v>-221120.07250000007</v>
      </c>
      <c r="BC19" s="2"/>
      <c r="BD19" s="2">
        <v>-116240.67749999995</v>
      </c>
      <c r="BE19" s="61"/>
      <c r="BF19" s="2">
        <v>-1654221.4066354292</v>
      </c>
      <c r="BG19" s="61"/>
      <c r="BH19" s="2">
        <v>47460.42</v>
      </c>
      <c r="BI19" s="61"/>
      <c r="BJ19" s="61">
        <f>SUM(AX19:BH19)</f>
        <v>-4990178.2267404068</v>
      </c>
      <c r="BM19" s="4" t="s">
        <v>17</v>
      </c>
      <c r="BN19" s="61">
        <v>-5721601.0099999998</v>
      </c>
      <c r="BO19" s="69"/>
      <c r="BP19" s="61">
        <v>-3407906.9</v>
      </c>
      <c r="BQ19" s="61"/>
      <c r="BR19" s="61">
        <v>-874439.1100000001</v>
      </c>
      <c r="BS19" s="61"/>
      <c r="BT19" s="61">
        <v>-298508.42</v>
      </c>
      <c r="BU19" s="61"/>
      <c r="BV19" s="61">
        <v>-6506704.2400000002</v>
      </c>
      <c r="BW19" s="61"/>
      <c r="BX19" s="61">
        <v>276093.23</v>
      </c>
      <c r="BY19" s="61"/>
      <c r="BZ19" s="61">
        <f>SUM(BN19:BX19)</f>
        <v>-16533066.449999999</v>
      </c>
      <c r="CC19" s="4" t="s">
        <v>17</v>
      </c>
      <c r="CD19" s="61">
        <v>-3724514.1254762928</v>
      </c>
      <c r="CE19" s="69"/>
      <c r="CF19" s="61">
        <v>-2544660.101588144</v>
      </c>
      <c r="CG19" s="61"/>
      <c r="CH19" s="61">
        <v>-668558.28750000498</v>
      </c>
      <c r="CJ19" s="61">
        <v>-183462.45249999996</v>
      </c>
      <c r="CK19" s="61"/>
      <c r="CL19" s="61">
        <v>-4889882.753061818</v>
      </c>
      <c r="CM19" s="61"/>
      <c r="CN19" s="61">
        <v>145817.37</v>
      </c>
      <c r="CO19" s="61"/>
      <c r="CP19" s="61">
        <f>SUM(CD19:CN19)</f>
        <v>-11865260.350126261</v>
      </c>
      <c r="CS19" s="4" t="s">
        <v>17</v>
      </c>
      <c r="CT19" s="2">
        <v>-2506423.8987608883</v>
      </c>
      <c r="CU19" s="69"/>
      <c r="CV19" s="2">
        <v>-1696528.2843920961</v>
      </c>
      <c r="CW19" s="61"/>
      <c r="CX19" s="2">
        <v>-444572.78500000096</v>
      </c>
      <c r="CY19" s="2"/>
      <c r="CZ19" s="2">
        <v>-112788.285</v>
      </c>
      <c r="DA19" s="61"/>
      <c r="DB19" s="2">
        <v>-3270025.5834254366</v>
      </c>
      <c r="DC19" s="61"/>
      <c r="DD19" s="2">
        <v>97211.581533834265</v>
      </c>
      <c r="DE19" s="61"/>
      <c r="DF19" s="61">
        <f>SUM(CT19:DD19)</f>
        <v>-7933127.2550445888</v>
      </c>
      <c r="DI19" s="4" t="s">
        <v>17</v>
      </c>
      <c r="DJ19" s="2">
        <v>-1221865.8934553736</v>
      </c>
      <c r="DK19" s="69"/>
      <c r="DL19" s="2">
        <v>-845248.16719604807</v>
      </c>
      <c r="DM19" s="61"/>
      <c r="DN19" s="2">
        <v>-219855.99249999999</v>
      </c>
      <c r="DO19" s="2"/>
      <c r="DP19" s="2">
        <v>-56974.587500000023</v>
      </c>
      <c r="DQ19" s="61"/>
      <c r="DR19" s="2">
        <v>-1650906.4047253893</v>
      </c>
      <c r="DS19" s="61"/>
      <c r="DT19" s="2">
        <v>48605.79</v>
      </c>
      <c r="DU19" s="61"/>
      <c r="DV19" s="61">
        <f>SUM(DJ19:DT19)</f>
        <v>-3946245.2553768111</v>
      </c>
      <c r="DY19" s="4" t="s">
        <v>17</v>
      </c>
      <c r="DZ19" s="61">
        <v>-3582025.3762643351</v>
      </c>
      <c r="EA19" s="69"/>
      <c r="EB19" s="61">
        <v>-3299701.91576791</v>
      </c>
      <c r="EC19" s="61"/>
      <c r="ED19" s="61">
        <v>-1187767.7600000021</v>
      </c>
      <c r="EE19" s="61"/>
      <c r="EF19" s="61">
        <v>-6900486.0217859466</v>
      </c>
      <c r="EG19" s="61"/>
      <c r="EH19" s="61">
        <v>191913.88100000002</v>
      </c>
      <c r="EI19" s="61"/>
      <c r="EJ19" s="61">
        <f>SUM(DZ19:EH19)</f>
        <v>-14778067.192818195</v>
      </c>
      <c r="EM19" s="4" t="s">
        <v>17</v>
      </c>
      <c r="EN19" s="2">
        <v>-2492099.0996111119</v>
      </c>
      <c r="EP19" s="2">
        <v>-2450820.7408470041</v>
      </c>
      <c r="ER19" s="2">
        <v>-893553.99999999953</v>
      </c>
      <c r="ET19" s="2">
        <v>-5191698.7037365129</v>
      </c>
      <c r="EV19" s="2">
        <v>143308.09575000001</v>
      </c>
      <c r="EX19" s="2">
        <f>SUM(EN19:EV19)</f>
        <v>-10884864.448444627</v>
      </c>
      <c r="FA19" s="4" t="s">
        <v>17</v>
      </c>
      <c r="FB19" s="2">
        <v>-1218770.9878847753</v>
      </c>
      <c r="FD19" s="2">
        <v>-1661568.9797197408</v>
      </c>
      <c r="FF19" s="2">
        <v>-603022.76999999944</v>
      </c>
      <c r="FH19" s="2">
        <v>-3680201.596684231</v>
      </c>
      <c r="FJ19" s="2">
        <v>94702.310500000021</v>
      </c>
      <c r="FL19" s="2">
        <f>SUM(FB19:FJ19)</f>
        <v>-7068862.0237887464</v>
      </c>
      <c r="FO19" s="4" t="s">
        <v>17</v>
      </c>
      <c r="FP19" s="2">
        <v>-571585.79293477559</v>
      </c>
      <c r="FR19" s="2">
        <v>-792757.17640995351</v>
      </c>
      <c r="FT19" s="2">
        <v>-295109.06</v>
      </c>
      <c r="FV19" s="2">
        <v>-1801219.3464998596</v>
      </c>
      <c r="FX19" s="2">
        <v>46578.595250000006</v>
      </c>
      <c r="FZ19" s="2">
        <f>SUM(FP19:FX19)</f>
        <v>-3414092.7805945887</v>
      </c>
      <c r="GC19" s="4" t="s">
        <v>17</v>
      </c>
      <c r="GD19" s="2">
        <v>-2144984.4183103605</v>
      </c>
      <c r="GF19" s="2">
        <v>-2417356.6930000004</v>
      </c>
      <c r="GH19" s="2">
        <v>-1243381.3300000017</v>
      </c>
      <c r="GJ19" s="2">
        <v>-5338570.9034362212</v>
      </c>
      <c r="GL19" s="2">
        <v>-895178.37936951057</v>
      </c>
      <c r="GN19" s="2">
        <f>SUM(GD19:GL19)</f>
        <v>-12039471.724116094</v>
      </c>
      <c r="GQ19" s="4" t="s">
        <v>17</v>
      </c>
      <c r="GR19" s="2">
        <v>-1410598.0799999996</v>
      </c>
      <c r="GT19" s="2">
        <v>-1799904.1222500005</v>
      </c>
      <c r="GV19" s="2">
        <v>-950523.03999999957</v>
      </c>
      <c r="GX19" s="2">
        <v>-3543086.8929990809</v>
      </c>
      <c r="GZ19" s="2">
        <v>-768124.43113979069</v>
      </c>
      <c r="HB19" s="2">
        <f>SUM(GR19:GZ19)</f>
        <v>-8472236.5663888715</v>
      </c>
      <c r="HE19" s="4" t="s">
        <v>17</v>
      </c>
      <c r="HF19" s="2">
        <v>-882172.16999999958</v>
      </c>
      <c r="HH19" s="2">
        <v>-1192281.6615000002</v>
      </c>
      <c r="HJ19" s="2">
        <v>-642327.97999999963</v>
      </c>
      <c r="HL19" s="53">
        <v>-1831164.9402679875</v>
      </c>
      <c r="HN19" s="2">
        <v>-538606.34825202089</v>
      </c>
      <c r="HP19" s="2">
        <f>SUM(HF19:HN19)</f>
        <v>-5086553.1000200082</v>
      </c>
      <c r="HS19" s="4" t="s">
        <v>17</v>
      </c>
      <c r="HT19" s="2">
        <v>-385351.07000000007</v>
      </c>
      <c r="HV19" s="2">
        <v>-552701.84</v>
      </c>
      <c r="HX19" s="2">
        <v>-321048.34999999998</v>
      </c>
      <c r="HZ19" s="2">
        <v>-512308.30000000016</v>
      </c>
      <c r="IB19" s="2">
        <v>-308713.93753523193</v>
      </c>
      <c r="ID19" s="2">
        <f>SUM(HT19:IB19)</f>
        <v>-2080123.497535232</v>
      </c>
      <c r="IG19" s="4" t="s">
        <v>17</v>
      </c>
      <c r="IH19" s="2">
        <v>-1293381.8800000001</v>
      </c>
      <c r="IJ19" s="2">
        <v>-2193516.3699999996</v>
      </c>
      <c r="IL19" s="2">
        <v>-1354175.1200000031</v>
      </c>
      <c r="IN19" s="2">
        <v>-2140117.8499999996</v>
      </c>
      <c r="IP19" s="2">
        <v>-993650.68</v>
      </c>
      <c r="IR19" s="2">
        <f>SUM(IH19:IP19)</f>
        <v>-7974841.9000000022</v>
      </c>
      <c r="IU19" s="4" t="s">
        <v>17</v>
      </c>
      <c r="IV19" s="2">
        <v>-952651.46000000008</v>
      </c>
      <c r="IX19" s="2">
        <v>-1642860.0699999998</v>
      </c>
      <c r="IZ19" s="2">
        <v>-1013110.920000001</v>
      </c>
      <c r="JB19" s="2">
        <v>-1654777.1900000002</v>
      </c>
      <c r="JD19" s="2">
        <v>-683799.43981092446</v>
      </c>
      <c r="JF19" s="2">
        <f>SUM(IV19:JD19)</f>
        <v>-5947199.0798109248</v>
      </c>
      <c r="JI19" s="4" t="s">
        <v>17</v>
      </c>
      <c r="JJ19" s="2">
        <v>-603115.07000000007</v>
      </c>
      <c r="JL19" s="2">
        <v>-1093214.1499999999</v>
      </c>
      <c r="JN19" s="2">
        <v>-677061.75000000012</v>
      </c>
      <c r="JP19" s="2">
        <v>-1095353.9900000012</v>
      </c>
      <c r="JR19" s="2">
        <v>-375394.53735492053</v>
      </c>
      <c r="JT19" s="2">
        <f>SUM(JJ19:JR19)</f>
        <v>-3844139.4973549219</v>
      </c>
      <c r="JW19" s="4" t="s">
        <v>17</v>
      </c>
      <c r="JX19" s="2">
        <v>-290523.38</v>
      </c>
      <c r="JZ19" s="2">
        <v>-544589.53</v>
      </c>
      <c r="KB19" s="2">
        <v>-342595.60000000073</v>
      </c>
      <c r="KD19" s="2">
        <v>-543740.38000000012</v>
      </c>
      <c r="KF19" s="2">
        <v>-88249.262163452266</v>
      </c>
      <c r="KH19" s="2">
        <f>SUM(JX19:KF19)</f>
        <v>-1809698.1521634532</v>
      </c>
      <c r="KK19" s="4" t="s">
        <v>17</v>
      </c>
      <c r="KL19" s="2">
        <v>-915358.8599999994</v>
      </c>
      <c r="KN19" s="2">
        <v>-2136135.59</v>
      </c>
      <c r="KP19" s="2">
        <v>-1302435.7399999951</v>
      </c>
      <c r="KR19" s="2">
        <v>-1878520.7600000012</v>
      </c>
      <c r="KT19" s="2">
        <v>-303992.07929559529</v>
      </c>
      <c r="KV19" s="2">
        <f>SUM(KL19:KT19)</f>
        <v>-6536443.0292955907</v>
      </c>
      <c r="KY19" s="4" t="s">
        <v>17</v>
      </c>
      <c r="KZ19" s="2">
        <v>-663896.77999999991</v>
      </c>
      <c r="LB19" s="2">
        <v>-1596941.4299999997</v>
      </c>
      <c r="LD19" s="2">
        <v>-968776.39999999874</v>
      </c>
      <c r="LF19" s="2">
        <v>-1350587.7400000005</v>
      </c>
      <c r="LH19" s="2">
        <v>-212938.64292311567</v>
      </c>
      <c r="LJ19" s="2">
        <f>SUM(KZ19:LH19)</f>
        <v>-4793140.9929231144</v>
      </c>
      <c r="LM19" s="4" t="s">
        <v>17</v>
      </c>
      <c r="LN19" s="2">
        <v>-438866.4600000002</v>
      </c>
      <c r="LP19" s="2">
        <v>-1061294.68</v>
      </c>
      <c r="LR19" s="2">
        <v>-638340.93000000005</v>
      </c>
      <c r="LT19" s="2">
        <v>-891072.07000000123</v>
      </c>
      <c r="LV19" s="2">
        <v>-132863.50683506526</v>
      </c>
      <c r="LX19" s="2">
        <f>SUM(LN19:LV19)</f>
        <v>-3162437.6468350668</v>
      </c>
      <c r="LZ19" s="4" t="s">
        <v>17</v>
      </c>
      <c r="MA19" s="2">
        <v>-216246.19000000003</v>
      </c>
      <c r="MC19" s="2">
        <v>-650445.92074001988</v>
      </c>
      <c r="ME19" s="2">
        <v>-318041.61999999994</v>
      </c>
      <c r="MG19" s="2">
        <v>-452559.30000000005</v>
      </c>
      <c r="MI19" s="2">
        <v>56245.125</v>
      </c>
      <c r="MK19" s="2">
        <f>SUM(MA19:MI19)</f>
        <v>-1581047.9057400199</v>
      </c>
      <c r="MM19" s="4" t="s">
        <v>17</v>
      </c>
      <c r="MN19" s="2">
        <v>-658492.2799999991</v>
      </c>
      <c r="MP19" s="2">
        <v>-2001925.0899999999</v>
      </c>
      <c r="MR19" s="2">
        <v>-1114413.8899999999</v>
      </c>
      <c r="MT19" s="2">
        <v>-1487509.1900000018</v>
      </c>
      <c r="MV19" s="2">
        <v>25989.380000000005</v>
      </c>
      <c r="MX19" s="2">
        <f>SUM(MN19:MV19)</f>
        <v>-5236351.0700000012</v>
      </c>
      <c r="NA19" s="4" t="s">
        <v>17</v>
      </c>
      <c r="NB19" s="2">
        <v>-495390.29999999981</v>
      </c>
      <c r="ND19" s="2">
        <v>-1490275.8299999998</v>
      </c>
      <c r="NF19" s="2">
        <v>-835489.57000000111</v>
      </c>
      <c r="NH19" s="2">
        <v>-1175808.9500000023</v>
      </c>
      <c r="NJ19" s="2">
        <v>19492.034999999974</v>
      </c>
      <c r="NL19" s="2">
        <f>SUM(NB19:NJ19)</f>
        <v>-3977472.615000003</v>
      </c>
      <c r="NO19" s="4" t="s">
        <v>17</v>
      </c>
      <c r="NP19" s="2">
        <v>-334420.21000000008</v>
      </c>
      <c r="NR19" s="2">
        <v>-989965.7300000001</v>
      </c>
      <c r="NT19" s="2">
        <v>-555997.96</v>
      </c>
      <c r="NV19" s="2">
        <v>-795615.1399999999</v>
      </c>
      <c r="NX19" s="2">
        <v>12994.690000000017</v>
      </c>
      <c r="NZ19" s="2">
        <f>SUM(NP19:NX19)</f>
        <v>-2663004.35</v>
      </c>
      <c r="OB19" s="4" t="s">
        <v>17</v>
      </c>
      <c r="OC19" s="2">
        <v>-170426.21999999994</v>
      </c>
      <c r="OE19" s="2">
        <v>-492168.4800000001</v>
      </c>
      <c r="OG19" s="55">
        <v>-273270</v>
      </c>
      <c r="OI19" s="2">
        <v>-406584.23000000004</v>
      </c>
      <c r="OK19" s="2">
        <v>6497.3450000000084</v>
      </c>
      <c r="OM19" s="2">
        <f>SUM(OC19:OK19)</f>
        <v>-1335951.5850000002</v>
      </c>
      <c r="OO19" s="4" t="s">
        <v>17</v>
      </c>
      <c r="OP19" s="2">
        <v>-1029216.3300000024</v>
      </c>
      <c r="OQ19" s="3">
        <v>0</v>
      </c>
      <c r="OR19" s="2">
        <v>-1624871.6099999999</v>
      </c>
      <c r="OT19" s="2">
        <v>-2116968.92</v>
      </c>
      <c r="OV19" s="2">
        <v>-2713564.18</v>
      </c>
      <c r="OX19" s="2">
        <v>132053.0199966667</v>
      </c>
      <c r="OZ19" s="2">
        <f>SUM(OP19:OX19)</f>
        <v>-7352568.0200033365</v>
      </c>
      <c r="PA19" s="24"/>
      <c r="PB19" s="4" t="s">
        <v>17</v>
      </c>
      <c r="PC19" s="2">
        <v>-868327.39</v>
      </c>
      <c r="PE19" s="2">
        <v>-820004.16999999993</v>
      </c>
      <c r="PG19" s="39">
        <v>0</v>
      </c>
      <c r="PI19" s="2">
        <v>-2696312.5100000002</v>
      </c>
      <c r="PK19" s="2">
        <v>111226.02470833331</v>
      </c>
      <c r="PM19" s="2">
        <f>SUM(PC19:PK19)</f>
        <v>-4273418.0452916669</v>
      </c>
      <c r="PN19" s="24"/>
      <c r="PO19" s="4" t="s">
        <v>17</v>
      </c>
      <c r="PP19" s="2">
        <v>-705387.19999999984</v>
      </c>
      <c r="PR19" s="2">
        <v>-320262.53000000003</v>
      </c>
      <c r="PT19" s="39"/>
      <c r="PV19" s="2">
        <v>-2299400.3300000005</v>
      </c>
      <c r="PX19" s="2">
        <v>117432.13283333335</v>
      </c>
      <c r="PZ19" s="2">
        <f>SUM(PP19:PX19)</f>
        <v>-3207617.9271666673</v>
      </c>
      <c r="QA19" s="24"/>
      <c r="QB19" s="4" t="s">
        <v>17</v>
      </c>
      <c r="QC19" s="2">
        <v>-539684.37</v>
      </c>
      <c r="QE19" s="2">
        <v>-208323.03000000003</v>
      </c>
      <c r="QG19" s="39"/>
      <c r="QI19" s="2">
        <v>-1809383.5499999996</v>
      </c>
      <c r="QK19" s="2">
        <v>72756.440208333326</v>
      </c>
      <c r="QM19" s="2">
        <f>SUM(QC19:QK19)</f>
        <v>-2484634.5097916662</v>
      </c>
      <c r="QN19" s="24"/>
      <c r="QO19" s="4" t="s">
        <v>17</v>
      </c>
      <c r="QP19" s="2">
        <v>-260615.84</v>
      </c>
      <c r="QR19" s="2">
        <v>-104099.89</v>
      </c>
      <c r="QT19" s="2">
        <v>-139582.23000000001</v>
      </c>
      <c r="QV19" s="2">
        <v>-1358759.3000000003</v>
      </c>
      <c r="QX19" s="2">
        <v>30492.126083333336</v>
      </c>
      <c r="QZ19" s="2">
        <f>SUM(QP19:QX19)</f>
        <v>-1832565.133916667</v>
      </c>
      <c r="RA19" s="24"/>
      <c r="RB19" s="4" t="s">
        <v>17</v>
      </c>
      <c r="RC19" s="2">
        <v>-170341.08000000002</v>
      </c>
      <c r="RE19" s="2">
        <v>-29652.63</v>
      </c>
      <c r="RG19" s="2">
        <v>-92384.7</v>
      </c>
      <c r="RI19" s="2">
        <v>-906979.62</v>
      </c>
      <c r="RK19" s="2">
        <v>1985.1</v>
      </c>
      <c r="RM19" s="2">
        <f>SUM(RC19:RK19)</f>
        <v>-1197372.93</v>
      </c>
      <c r="RN19" s="24"/>
      <c r="RO19" s="4" t="s">
        <v>17</v>
      </c>
      <c r="RP19" s="2">
        <v>-83305.12000000001</v>
      </c>
      <c r="RR19" s="2">
        <v>-14614.53</v>
      </c>
      <c r="RT19" s="2">
        <v>-45106.35</v>
      </c>
      <c r="RV19" s="2">
        <v>-453726.35</v>
      </c>
      <c r="RX19" s="2">
        <v>992.55</v>
      </c>
      <c r="RZ19" s="37">
        <f>SUM(RP19:RX19)</f>
        <v>-595759.79999999993</v>
      </c>
      <c r="SA19" s="24"/>
      <c r="SB19" s="4" t="s">
        <v>17</v>
      </c>
      <c r="SC19" s="2">
        <v>-334970.85000000003</v>
      </c>
      <c r="SE19" s="2">
        <v>-57711.270000000004</v>
      </c>
      <c r="SG19" s="2">
        <v>-178960.48000000004</v>
      </c>
      <c r="SI19" s="2">
        <v>-1522727.8599999996</v>
      </c>
      <c r="SK19" s="2">
        <v>3970.04</v>
      </c>
      <c r="SM19" s="2">
        <f>SUM(SC19:SK19)</f>
        <v>-2090400.4199999997</v>
      </c>
      <c r="SN19" s="24"/>
      <c r="SO19" s="4" t="s">
        <v>17</v>
      </c>
      <c r="SP19" s="2">
        <v>-248296.93999999997</v>
      </c>
      <c r="SR19" s="2">
        <v>-42615.920000000013</v>
      </c>
      <c r="ST19" s="2">
        <v>-131385.38</v>
      </c>
      <c r="SV19" s="2">
        <v>-1170957.4000000001</v>
      </c>
      <c r="SX19" s="2">
        <v>4055.8900000003205</v>
      </c>
      <c r="SZ19" s="2">
        <f>SUM(SP19:SX19)</f>
        <v>-1589199.7499999998</v>
      </c>
      <c r="TA19" s="24"/>
      <c r="TB19" s="4" t="s">
        <v>17</v>
      </c>
      <c r="TC19" s="2">
        <v>-165180.56</v>
      </c>
      <c r="TD19" s="2"/>
      <c r="TE19" s="2">
        <v>-27952.440000000006</v>
      </c>
      <c r="TG19" s="2">
        <v>-85243.760000000009</v>
      </c>
      <c r="TI19" s="2">
        <v>-775515.50999999989</v>
      </c>
      <c r="TK19" s="2">
        <v>2703.9100000001399</v>
      </c>
      <c r="TM19" s="2">
        <f>SUM(TC19:TK19)</f>
        <v>-1051188.3599999999</v>
      </c>
      <c r="TN19" s="24"/>
      <c r="TO19" s="4" t="s">
        <v>17</v>
      </c>
      <c r="TP19" s="2">
        <v>-81941.509999999995</v>
      </c>
      <c r="TQ19" s="2"/>
      <c r="TR19" s="2">
        <v>-37511.970000000008</v>
      </c>
      <c r="TT19" s="2">
        <v>-41620.880000000005</v>
      </c>
      <c r="TV19" s="2">
        <v>-386411.23999999993</v>
      </c>
      <c r="TX19" s="2">
        <v>1541.3199999999301</v>
      </c>
      <c r="TZ19" s="2">
        <f>SUM(TP19:TX19)</f>
        <v>-545944.28</v>
      </c>
      <c r="UA19" s="24"/>
      <c r="UB19" s="4" t="s">
        <v>17</v>
      </c>
      <c r="UC19" s="2">
        <v>-872909.99000000011</v>
      </c>
      <c r="UE19" s="2">
        <v>-128839.65</v>
      </c>
      <c r="UG19" s="2">
        <v>-267856.22000000003</v>
      </c>
      <c r="UI19" s="2">
        <v>-3082218.120000001</v>
      </c>
      <c r="UK19" s="2">
        <v>6165.2700000013301</v>
      </c>
      <c r="UM19" s="2">
        <f>SUM(UC19:UK19)</f>
        <v>-4345658.71</v>
      </c>
      <c r="UN19" s="24"/>
      <c r="UO19" s="4" t="s">
        <v>17</v>
      </c>
      <c r="UP19" s="2">
        <v>-645275.36999999988</v>
      </c>
      <c r="UR19" s="2">
        <v>-91330.2</v>
      </c>
      <c r="UT19" s="2">
        <v>-192745.29</v>
      </c>
      <c r="UV19" s="2">
        <v>-2362153.0700000008</v>
      </c>
      <c r="UX19" s="2">
        <v>10148.990000000002</v>
      </c>
      <c r="UZ19" s="2">
        <f>SUM(UP19:UX19)</f>
        <v>-3281354.9400000004</v>
      </c>
      <c r="VA19" s="24"/>
      <c r="VB19" s="24" t="s">
        <v>17</v>
      </c>
      <c r="VC19" s="2">
        <v>-420635.90999999992</v>
      </c>
      <c r="VD19" s="2"/>
      <c r="VE19" s="2">
        <v>-64364.02</v>
      </c>
      <c r="VG19" s="2">
        <v>-118580.23</v>
      </c>
      <c r="VI19" s="2">
        <v>-1577994.06</v>
      </c>
      <c r="VK19" s="2">
        <v>6916.7899999995698</v>
      </c>
      <c r="VM19" s="2">
        <v>-2174657.4300000002</v>
      </c>
      <c r="VN19" s="24"/>
      <c r="VO19" s="24" t="s">
        <v>17</v>
      </c>
      <c r="VP19" s="2">
        <f>-220.26834*1000</f>
        <v>-220268.34</v>
      </c>
      <c r="VQ19" s="2"/>
      <c r="VR19" s="2">
        <f>-32.20017*1000</f>
        <v>-32200.17</v>
      </c>
      <c r="VT19" s="2">
        <f>-52.93406*1000</f>
        <v>-52934.060000000005</v>
      </c>
      <c r="VV19" s="2">
        <f>-785.045980000001*1000</f>
        <v>-785045.98000000103</v>
      </c>
      <c r="VX19" s="2">
        <f>1.6525*1000</f>
        <v>1652.5</v>
      </c>
      <c r="VZ19" s="2">
        <f>-1088.79605*1000</f>
        <v>-1088796.0499999998</v>
      </c>
      <c r="WA19" s="24"/>
      <c r="WB19" s="4" t="s">
        <v>17</v>
      </c>
      <c r="WC19" s="2">
        <v>-738573.13000000012</v>
      </c>
      <c r="WE19" s="2">
        <v>-109402.94</v>
      </c>
      <c r="WG19" s="2">
        <v>-228152.97999999998</v>
      </c>
      <c r="WI19" s="2">
        <v>-2817213.3899999997</v>
      </c>
      <c r="WJ19" s="2" t="e">
        <f>#REF!</f>
        <v>#REF!</v>
      </c>
      <c r="WK19" s="2">
        <v>0</v>
      </c>
      <c r="WM19" s="2">
        <v>-3893342.4399999995</v>
      </c>
      <c r="WN19" s="24"/>
      <c r="WO19" s="4" t="s">
        <v>17</v>
      </c>
      <c r="WP19" s="2">
        <f>(-26.755-54.834-440.866)*1000</f>
        <v>-522454.99999999994</v>
      </c>
      <c r="WR19" s="2">
        <f>-61.21413*1000</f>
        <v>-61214.13</v>
      </c>
      <c r="WT19" s="2">
        <f>(-125.806-33.122)*1000</f>
        <v>-158928</v>
      </c>
      <c r="WU19" s="2">
        <f>-125.806-33.122</f>
        <v>-158.928</v>
      </c>
      <c r="WV19" s="2">
        <f>-158769-1925.95606059931*1000</f>
        <v>-2084725.0605993099</v>
      </c>
      <c r="WX19" s="2">
        <f>-4.9575*1000</f>
        <v>-4957.5</v>
      </c>
      <c r="WZ19" s="2">
        <f>SUM(WP19:WX19)</f>
        <v>-2832438.6185993096</v>
      </c>
      <c r="XA19" s="24"/>
      <c r="XB19" s="24" t="s">
        <v>17</v>
      </c>
      <c r="XC19" s="2">
        <v>-325001.99999999988</v>
      </c>
      <c r="XD19" s="2"/>
      <c r="XE19" s="2">
        <v>-37440.019999999997</v>
      </c>
      <c r="XG19" s="2">
        <v>-104708</v>
      </c>
      <c r="XI19" s="2">
        <v>-1283170.0970662064</v>
      </c>
      <c r="XK19" s="2">
        <v>-3305.0000000000796</v>
      </c>
      <c r="XM19" s="2">
        <v>-1753625.1170662064</v>
      </c>
      <c r="XN19" s="2"/>
      <c r="XO19" s="24" t="s">
        <v>17</v>
      </c>
      <c r="XP19" s="2">
        <f>-148.44659*1000</f>
        <v>-148446.59</v>
      </c>
      <c r="XQ19" s="2"/>
      <c r="XR19" s="2">
        <v>-17075.099999999999</v>
      </c>
      <c r="XT19" s="2">
        <f>-50.9975*1000</f>
        <v>-50997.5</v>
      </c>
      <c r="XV19" s="2">
        <v>-552589.05353310308</v>
      </c>
      <c r="XX19" s="2">
        <f>1.6525*1000</f>
        <v>1652.5</v>
      </c>
      <c r="XZ19" s="2">
        <f>-767.455743533103*1000</f>
        <v>-767455.74353310303</v>
      </c>
      <c r="YA19" s="2"/>
      <c r="YB19" s="24" t="s">
        <v>17</v>
      </c>
      <c r="YC19" s="2">
        <v>-510884.5</v>
      </c>
      <c r="YD19" s="2" t="e">
        <f>#REF!</f>
        <v>#REF!</v>
      </c>
      <c r="YE19" s="2">
        <v>-64178.57</v>
      </c>
      <c r="YG19" s="2">
        <v>-248408.67</v>
      </c>
      <c r="YI19" s="2">
        <v>-2220766.75413241</v>
      </c>
      <c r="YK19" s="2">
        <v>0</v>
      </c>
      <c r="YM19" s="2">
        <v>-3044238.4941324098</v>
      </c>
      <c r="YN19" s="2"/>
      <c r="YO19" s="4" t="s">
        <v>17</v>
      </c>
      <c r="YP19" s="2">
        <f>-388.593*1000</f>
        <v>-388593</v>
      </c>
      <c r="YR19" s="2">
        <f>-43.99487*1000</f>
        <v>-43994.869999999995</v>
      </c>
      <c r="YT19" s="2">
        <f>-186.835*1000</f>
        <v>-186835</v>
      </c>
      <c r="YV19" s="2">
        <f>-1472.76372059931*1000</f>
        <v>-1472763.72059931</v>
      </c>
      <c r="YX19" s="2">
        <f>-4.593*1000</f>
        <v>-4593</v>
      </c>
      <c r="YZ19" s="2">
        <f>-2283.61459059931*1000</f>
        <v>-2283614.5905993097</v>
      </c>
    </row>
    <row r="20" spans="1:676">
      <c r="B20" s="69"/>
      <c r="C20" s="69"/>
      <c r="D20" s="61"/>
      <c r="E20" s="61"/>
      <c r="G20" s="61"/>
      <c r="H20" s="61"/>
      <c r="I20" s="61"/>
      <c r="J20" s="61"/>
      <c r="K20" s="61"/>
      <c r="L20" s="61"/>
      <c r="M20" s="61"/>
      <c r="N20" s="61"/>
      <c r="R20" s="69"/>
      <c r="S20" s="69"/>
      <c r="T20" s="61"/>
      <c r="U20" s="61"/>
      <c r="X20" s="61"/>
      <c r="Y20" s="61"/>
      <c r="Z20" s="61"/>
      <c r="AA20" s="61"/>
      <c r="AB20" s="61"/>
      <c r="AC20" s="61"/>
      <c r="AD20" s="61"/>
      <c r="AH20" s="69"/>
      <c r="AI20" s="69"/>
      <c r="AJ20" s="61"/>
      <c r="AK20" s="61"/>
      <c r="AO20" s="61"/>
      <c r="AP20" s="61"/>
      <c r="AQ20" s="61"/>
      <c r="AR20" s="61"/>
      <c r="AS20" s="61"/>
      <c r="AT20" s="61"/>
      <c r="AX20" s="69"/>
      <c r="AY20" s="69"/>
      <c r="AZ20" s="61"/>
      <c r="BA20" s="61"/>
      <c r="BE20" s="61"/>
      <c r="BF20" s="61"/>
      <c r="BG20" s="61"/>
      <c r="BH20" s="61"/>
      <c r="BI20" s="61"/>
      <c r="BJ20" s="61"/>
      <c r="BN20" s="69"/>
      <c r="BO20" s="69"/>
      <c r="BP20" s="61"/>
      <c r="BQ20" s="61"/>
      <c r="BS20" s="61"/>
      <c r="BU20" s="61"/>
      <c r="BV20" s="61"/>
      <c r="BW20" s="61"/>
      <c r="BX20" s="61"/>
      <c r="BY20" s="61"/>
      <c r="BZ20" s="61"/>
      <c r="CD20" s="69"/>
      <c r="CE20" s="69"/>
      <c r="CF20" s="61"/>
      <c r="CG20" s="61"/>
      <c r="CK20" s="61"/>
      <c r="CL20" s="61"/>
      <c r="CM20" s="61"/>
      <c r="CN20" s="61"/>
      <c r="CO20" s="61"/>
      <c r="CP20" s="61"/>
      <c r="CT20" s="69"/>
      <c r="CU20" s="69"/>
      <c r="CV20" s="61"/>
      <c r="CW20" s="61"/>
      <c r="DA20" s="61"/>
      <c r="DB20" s="61"/>
      <c r="DC20" s="61"/>
      <c r="DD20" s="61"/>
      <c r="DE20" s="61"/>
      <c r="DF20" s="61"/>
      <c r="DJ20" s="69"/>
      <c r="DK20" s="69"/>
      <c r="DL20" s="61"/>
      <c r="DM20" s="61"/>
      <c r="DQ20" s="61"/>
      <c r="DR20" s="61"/>
      <c r="DS20" s="61"/>
      <c r="DT20" s="61"/>
      <c r="DU20" s="61"/>
      <c r="DV20" s="61"/>
      <c r="DZ20" s="69"/>
      <c r="EA20" s="69"/>
      <c r="EB20" s="61"/>
      <c r="EC20" s="61"/>
      <c r="EE20" s="61"/>
      <c r="EF20" s="61"/>
      <c r="EG20" s="61"/>
      <c r="EH20" s="61"/>
      <c r="EI20" s="61"/>
      <c r="EJ20" s="61"/>
      <c r="FH20" s="53"/>
      <c r="HL20" s="53"/>
      <c r="LR20" s="53"/>
      <c r="ME20" s="53"/>
      <c r="NT20" s="53"/>
      <c r="OG20" s="53"/>
      <c r="OT20" s="53"/>
      <c r="PA20" s="24"/>
      <c r="PG20" s="39"/>
      <c r="PN20" s="24"/>
      <c r="PT20" s="39"/>
      <c r="QA20" s="24"/>
      <c r="QG20" s="39"/>
      <c r="QN20" s="24"/>
      <c r="RA20" s="24"/>
      <c r="RN20" s="24"/>
      <c r="SA20" s="24"/>
      <c r="SN20" s="24"/>
      <c r="TA20" s="24"/>
      <c r="TN20" s="24"/>
      <c r="UA20" s="24"/>
      <c r="UN20" s="24"/>
      <c r="VA20" s="24"/>
      <c r="VB20" s="24"/>
      <c r="VN20" s="24"/>
      <c r="VO20" s="24"/>
      <c r="WA20" s="24"/>
      <c r="WN20" s="24"/>
      <c r="XA20" s="24"/>
      <c r="XB20" s="24"/>
      <c r="XN20" s="2"/>
      <c r="XO20" s="24"/>
      <c r="YA20" s="2"/>
      <c r="YB20" s="24"/>
      <c r="YN20" s="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</row>
    <row r="21" spans="1:676" ht="11" thickBot="1">
      <c r="A21" s="7" t="s">
        <v>127</v>
      </c>
      <c r="B21" s="64">
        <f>B18-B19</f>
        <v>-261258256.45999998</v>
      </c>
      <c r="C21" s="72"/>
      <c r="D21" s="64">
        <f>D18-D19</f>
        <v>-36830163.18</v>
      </c>
      <c r="E21" s="63"/>
      <c r="F21" s="64">
        <f>F18-F19</f>
        <v>-2377109.8199999998</v>
      </c>
      <c r="G21" s="63"/>
      <c r="H21" s="64">
        <v>0</v>
      </c>
      <c r="I21" s="63"/>
      <c r="J21" s="64">
        <f>J18-J19</f>
        <v>-22272208.34</v>
      </c>
      <c r="K21" s="63"/>
      <c r="L21" s="64">
        <f>L18-L19</f>
        <v>-818107.53</v>
      </c>
      <c r="M21" s="63"/>
      <c r="N21" s="64">
        <f>SUM(B21:L21)</f>
        <v>-323555845.32999992</v>
      </c>
      <c r="Q21" s="7" t="s">
        <v>127</v>
      </c>
      <c r="R21" s="64">
        <f>R18-R19</f>
        <v>-182765045.55436614</v>
      </c>
      <c r="S21" s="72"/>
      <c r="T21" s="64">
        <f>T18-T19</f>
        <v>-24405121.211699385</v>
      </c>
      <c r="U21" s="63"/>
      <c r="V21" s="64">
        <f>V18-V19</f>
        <v>-2026008.6402969309</v>
      </c>
      <c r="W21" s="63"/>
      <c r="X21" s="64">
        <v>0</v>
      </c>
      <c r="Y21" s="63"/>
      <c r="Z21" s="64">
        <f>Z18-Z19</f>
        <v>-14488849.437959239</v>
      </c>
      <c r="AA21" s="63"/>
      <c r="AB21" s="64">
        <f>AB18-AB19</f>
        <v>-563604.48997333378</v>
      </c>
      <c r="AC21" s="63"/>
      <c r="AD21" s="64">
        <f>SUM(R21:AB21)</f>
        <v>-224248629.33429506</v>
      </c>
      <c r="AG21" s="7" t="s">
        <v>127</v>
      </c>
      <c r="AH21" s="64">
        <f>AH18-AH19</f>
        <v>-130677625.04466498</v>
      </c>
      <c r="AI21" s="72"/>
      <c r="AJ21" s="64">
        <f>AJ18-AJ19</f>
        <v>-15476147.650749391</v>
      </c>
      <c r="AK21" s="63"/>
      <c r="AL21" s="64">
        <f>AL18-AL19</f>
        <v>-1223948.2852969328</v>
      </c>
      <c r="AM21" s="63"/>
      <c r="AN21" s="64">
        <v>0</v>
      </c>
      <c r="AO21" s="63"/>
      <c r="AP21" s="64">
        <f>AP18-AP19</f>
        <v>-8354434.7702940004</v>
      </c>
      <c r="AQ21" s="63"/>
      <c r="AR21" s="64">
        <f>AR18-AR19</f>
        <v>-10906.519999999931</v>
      </c>
      <c r="AS21" s="63"/>
      <c r="AT21" s="64">
        <f>SUM(AH21:AR21)</f>
        <v>-155743062.27100533</v>
      </c>
      <c r="AW21" s="7" t="s">
        <v>127</v>
      </c>
      <c r="AX21" s="64">
        <f>AX18-AX19</f>
        <v>-107393827.5706019</v>
      </c>
      <c r="AY21" s="72"/>
      <c r="AZ21" s="64">
        <f>AZ18-AZ19</f>
        <v>-8093905.6890493808</v>
      </c>
      <c r="BA21" s="63"/>
      <c r="BB21" s="64">
        <f>BB18-BB19</f>
        <v>-485697.71288388845</v>
      </c>
      <c r="BC21" s="63"/>
      <c r="BD21" s="64">
        <v>0</v>
      </c>
      <c r="BE21" s="63"/>
      <c r="BF21" s="64">
        <f>BF18-BF19</f>
        <v>-3497869.7821749994</v>
      </c>
      <c r="BG21" s="63"/>
      <c r="BH21" s="64">
        <f>BH18-BH19</f>
        <v>0</v>
      </c>
      <c r="BI21" s="63"/>
      <c r="BJ21" s="64">
        <f>SUM(AX21:BH21)</f>
        <v>-119471300.75471017</v>
      </c>
      <c r="BM21" s="7" t="s">
        <v>127</v>
      </c>
      <c r="BN21" s="64">
        <f>BN18-BN19</f>
        <v>-282939994.28266084</v>
      </c>
      <c r="BO21" s="72"/>
      <c r="BP21" s="64">
        <f>BP18-BP19</f>
        <v>-28388252.931784615</v>
      </c>
      <c r="BQ21" s="63"/>
      <c r="BR21" s="64">
        <f>BR18-BR19</f>
        <v>-2493235.9200000009</v>
      </c>
      <c r="BS21" s="63"/>
      <c r="BT21" s="64">
        <v>0</v>
      </c>
      <c r="BU21" s="63"/>
      <c r="BV21" s="64">
        <f>BV18-BV19</f>
        <v>-14300836.569375088</v>
      </c>
      <c r="BW21" s="63"/>
      <c r="BX21" s="64">
        <f>BX18-BX19</f>
        <v>2632.4949166676961</v>
      </c>
      <c r="BY21" s="63"/>
      <c r="BZ21" s="64">
        <f>SUM(BN21:BX21)</f>
        <v>-328119687.20890391</v>
      </c>
      <c r="CC21" s="7" t="s">
        <v>127</v>
      </c>
      <c r="CD21" s="64">
        <f>CD18-CD19</f>
        <v>-209361921.97151518</v>
      </c>
      <c r="CE21" s="72"/>
      <c r="CF21" s="64">
        <f>CF18-CF19</f>
        <v>-20016236.190454233</v>
      </c>
      <c r="CG21" s="63"/>
      <c r="CH21" s="64">
        <f>CH18-CH19</f>
        <v>-1768747.1175000335</v>
      </c>
      <c r="CI21" s="63"/>
      <c r="CJ21" s="64">
        <v>0</v>
      </c>
      <c r="CK21" s="63"/>
      <c r="CL21" s="64">
        <f>CL18-CL19</f>
        <v>-9317718.6043534465</v>
      </c>
      <c r="CM21" s="63"/>
      <c r="CN21" s="64">
        <f>CN18-CN19</f>
        <v>111079.41610277828</v>
      </c>
      <c r="CO21" s="63"/>
      <c r="CP21" s="64">
        <f>SUM(CD21:CN21)</f>
        <v>-240353544.46772015</v>
      </c>
      <c r="CS21" s="7" t="s">
        <v>127</v>
      </c>
      <c r="CT21" s="64">
        <f>CT18-CT19</f>
        <v>-170588453.64164796</v>
      </c>
      <c r="CU21" s="72"/>
      <c r="CV21" s="64">
        <f>CV18-CV19</f>
        <v>-13900915.971120728</v>
      </c>
      <c r="CW21" s="63"/>
      <c r="CX21" s="64">
        <f>CX18-CX19</f>
        <v>-1064103.0699999994</v>
      </c>
      <c r="CY21" s="63"/>
      <c r="CZ21" s="64">
        <v>0</v>
      </c>
      <c r="DA21" s="63"/>
      <c r="DB21" s="64">
        <f>DB18-DB19</f>
        <v>-6508911.8345651682</v>
      </c>
      <c r="DC21" s="63"/>
      <c r="DD21" s="64">
        <f>DD18-DD19</f>
        <v>73432.499937606117</v>
      </c>
      <c r="DE21" s="63"/>
      <c r="DF21" s="64">
        <f>SUM(CT21:DD21)</f>
        <v>-191988952.01739624</v>
      </c>
      <c r="DI21" s="7" t="s">
        <v>127</v>
      </c>
      <c r="DJ21" s="64">
        <f>DJ18-DJ19</f>
        <v>-147957067.44832402</v>
      </c>
      <c r="DK21" s="72"/>
      <c r="DL21" s="64">
        <f>DL18-DL19</f>
        <v>-5752921.5406971406</v>
      </c>
      <c r="DM21" s="63"/>
      <c r="DN21" s="64">
        <f>DN18-DN19</f>
        <v>-464904.114999999</v>
      </c>
      <c r="DO21" s="63"/>
      <c r="DP21" s="64">
        <v>0</v>
      </c>
      <c r="DQ21" s="63"/>
      <c r="DR21" s="64">
        <f>DR18-DR19</f>
        <v>-4158808.4381689988</v>
      </c>
      <c r="DS21" s="63"/>
      <c r="DT21" s="64">
        <f>DT18-DT19</f>
        <v>37155.000000000153</v>
      </c>
      <c r="DU21" s="63"/>
      <c r="DV21" s="64">
        <f>SUM(DJ21:DT21)</f>
        <v>-158296546.54219016</v>
      </c>
      <c r="DY21" s="7" t="s">
        <v>43</v>
      </c>
      <c r="DZ21" s="64">
        <f>DZ18-DZ19</f>
        <v>-151727335.78690538</v>
      </c>
      <c r="EA21" s="72"/>
      <c r="EB21" s="64">
        <f>EB18-EB19</f>
        <v>-25086108.629600674</v>
      </c>
      <c r="EC21" s="63"/>
      <c r="ED21" s="64">
        <f>ED18-ED19</f>
        <v>-14476292.509999998</v>
      </c>
      <c r="EE21" s="63"/>
      <c r="EF21" s="64">
        <f>EF18-EF19</f>
        <v>-13678897.749872001</v>
      </c>
      <c r="EG21" s="63"/>
      <c r="EH21" s="64">
        <f>EH18-EH19</f>
        <v>614259.54466812592</v>
      </c>
      <c r="EI21" s="63"/>
      <c r="EJ21" s="64">
        <f>EJ18-EJ19</f>
        <v>-204354375.13170993</v>
      </c>
      <c r="EM21" s="7" t="s">
        <v>43</v>
      </c>
      <c r="EN21" s="12">
        <f>EN18-EN19</f>
        <v>-96669857.290618867</v>
      </c>
      <c r="EO21" s="13"/>
      <c r="EP21" s="12">
        <f>EP18-EP19</f>
        <v>-18510684.754700389</v>
      </c>
      <c r="EQ21" s="8"/>
      <c r="ER21" s="64">
        <f>ER18-ER19</f>
        <v>-9649067.6300000008</v>
      </c>
      <c r="ES21" s="8"/>
      <c r="ET21" s="12">
        <f>ET18-ET19</f>
        <v>-7436403.0972918598</v>
      </c>
      <c r="EU21" s="8"/>
      <c r="EV21" s="12">
        <f>EV18-EV19</f>
        <v>-2511.9781976664963</v>
      </c>
      <c r="EW21" s="8"/>
      <c r="EX21" s="12">
        <f>EX18-EX19</f>
        <v>-132268524.75080881</v>
      </c>
      <c r="FA21" s="7" t="s">
        <v>43</v>
      </c>
      <c r="FB21" s="12">
        <f>FB18-FB19</f>
        <v>-76205246.41220066</v>
      </c>
      <c r="FC21" s="13"/>
      <c r="FD21" s="12">
        <f>FD18-FD19</f>
        <v>-13557811.918829083</v>
      </c>
      <c r="FE21" s="8"/>
      <c r="FF21" s="64">
        <f>FF18-FF19</f>
        <v>-5076501.7500000009</v>
      </c>
      <c r="FG21" s="8"/>
      <c r="FH21" s="56">
        <f>FH18-FH19</f>
        <v>-4783450.3728055786</v>
      </c>
      <c r="FI21" s="8"/>
      <c r="FJ21" s="12">
        <f>FJ18-FJ19</f>
        <v>-86960.052016000147</v>
      </c>
      <c r="FK21" s="8"/>
      <c r="FL21" s="12">
        <f>FL18-FL19</f>
        <v>-99709970.505851313</v>
      </c>
      <c r="FO21" s="7" t="s">
        <v>43</v>
      </c>
      <c r="FP21" s="12">
        <f>FP18-FP19</f>
        <v>-54381202.318833336</v>
      </c>
      <c r="FQ21" s="13"/>
      <c r="FR21" s="12">
        <f>FR18-FR19</f>
        <v>-6106632.1899999995</v>
      </c>
      <c r="FS21" s="8"/>
      <c r="FT21" s="64">
        <f>FT18-FT19</f>
        <v>-1733794.9100000001</v>
      </c>
      <c r="FU21" s="8"/>
      <c r="FV21" s="12">
        <f>FV18-FV19</f>
        <v>-1993514.9100000008</v>
      </c>
      <c r="FW21" s="8"/>
      <c r="FX21" s="12">
        <f>FX18-FX19</f>
        <v>-35779.655085312661</v>
      </c>
      <c r="FY21" s="8"/>
      <c r="FZ21" s="12">
        <f>FZ18-FZ19</f>
        <v>-64250923.983918652</v>
      </c>
      <c r="GC21" s="7" t="s">
        <v>43</v>
      </c>
      <c r="GD21" s="12">
        <f>GD18-GD19</f>
        <v>-77507141.089494199</v>
      </c>
      <c r="GE21" s="13"/>
      <c r="GF21" s="12">
        <f>GF18-GF19</f>
        <v>-21398609.871719509</v>
      </c>
      <c r="GG21" s="8"/>
      <c r="GH21" s="64">
        <f>GH18-GH19</f>
        <v>-8094463.2699999977</v>
      </c>
      <c r="GI21" s="8"/>
      <c r="GJ21" s="12">
        <f>GJ18-GJ19</f>
        <v>-504139.15071329474</v>
      </c>
      <c r="GK21" s="8"/>
      <c r="GL21" s="12">
        <f>GL18-GL19</f>
        <v>1280898.6423695248</v>
      </c>
      <c r="GM21" s="8"/>
      <c r="GN21" s="12">
        <f>GN18-GN19</f>
        <v>-106223454.73955747</v>
      </c>
      <c r="GQ21" s="7" t="s">
        <v>43</v>
      </c>
      <c r="GR21" s="12">
        <f>GR18-GR19</f>
        <v>-51619637.182577476</v>
      </c>
      <c r="GS21" s="13"/>
      <c r="GT21" s="12">
        <f>GT18-GT19</f>
        <v>-16175325.417749999</v>
      </c>
      <c r="GU21" s="8"/>
      <c r="GV21" s="64">
        <f>GV18-GV19</f>
        <v>-4245948.1400000006</v>
      </c>
      <c r="GW21" s="8"/>
      <c r="GX21" s="12">
        <f>GX18-GX19</f>
        <v>1430582.5905841272</v>
      </c>
      <c r="GY21" s="8"/>
      <c r="GZ21" s="12">
        <f>GZ18-GZ19</f>
        <v>718500.07338525704</v>
      </c>
      <c r="HA21" s="8"/>
      <c r="HB21" s="12">
        <f>HB18-HB19</f>
        <v>-69891828.07635808</v>
      </c>
      <c r="HE21" s="7" t="s">
        <v>43</v>
      </c>
      <c r="HF21" s="12">
        <f>HF18-HF19</f>
        <v>-42417002.037927493</v>
      </c>
      <c r="HG21" s="13"/>
      <c r="HH21" s="12">
        <f>HH18-HH19</f>
        <v>-10608667.321699999</v>
      </c>
      <c r="HI21" s="8"/>
      <c r="HJ21" s="64">
        <f>HJ18-HJ19</f>
        <v>-2725506.39</v>
      </c>
      <c r="HK21" s="8"/>
      <c r="HL21" s="56">
        <f>HL18-HL19</f>
        <v>3231248.2130751237</v>
      </c>
      <c r="HM21" s="8"/>
      <c r="HN21" s="12">
        <f>HN18-HN19</f>
        <v>441096.99696749996</v>
      </c>
      <c r="HO21" s="8"/>
      <c r="HP21" s="12">
        <f>HP18-HP19</f>
        <v>-52078830.539584875</v>
      </c>
      <c r="HS21" s="7" t="s">
        <v>43</v>
      </c>
      <c r="HT21" s="12">
        <f>HT18-HT19</f>
        <v>-23861404.499999993</v>
      </c>
      <c r="HU21" s="13"/>
      <c r="HV21" s="12">
        <f>HV18-HV19</f>
        <v>-5060807.08</v>
      </c>
      <c r="HW21" s="8"/>
      <c r="HX21" s="64">
        <f>HX18-HX19</f>
        <v>-1358206.2600000002</v>
      </c>
      <c r="HY21" s="8"/>
      <c r="HZ21" s="12">
        <f>HZ18-HZ19</f>
        <v>-1154127.4405</v>
      </c>
      <c r="IA21" s="8"/>
      <c r="IB21" s="12">
        <f>IB18-IB19</f>
        <v>220447.49065000028</v>
      </c>
      <c r="IC21" s="8"/>
      <c r="ID21" s="12">
        <f>ID18-ID19</f>
        <v>-31214097.789849993</v>
      </c>
      <c r="IG21" s="7" t="s">
        <v>43</v>
      </c>
      <c r="IH21" s="12">
        <f>IH18-IH19</f>
        <v>-81201547.689999998</v>
      </c>
      <c r="II21" s="13"/>
      <c r="IJ21" s="12">
        <f>IJ18-IJ19</f>
        <v>-18944508.099999998</v>
      </c>
      <c r="IK21" s="8"/>
      <c r="IL21" s="64">
        <f>IL18-IL19</f>
        <v>-3794067.0599999977</v>
      </c>
      <c r="IM21" s="8"/>
      <c r="IN21" s="12">
        <f>IN18-IN19</f>
        <v>-4059425.8019999992</v>
      </c>
      <c r="IO21" s="8"/>
      <c r="IP21" s="12">
        <f>IP18-IP19</f>
        <v>815613.24000001501</v>
      </c>
      <c r="IQ21" s="8"/>
      <c r="IR21" s="12">
        <f>IR18-IR19</f>
        <v>-107183935.41199997</v>
      </c>
      <c r="IU21" s="7" t="s">
        <v>43</v>
      </c>
      <c r="IV21" s="12">
        <f>IV18-IV19</f>
        <v>-43328114.659999996</v>
      </c>
      <c r="IW21" s="13"/>
      <c r="IX21" s="12">
        <f>IX18-IX19</f>
        <v>-13687049.950000003</v>
      </c>
      <c r="IY21" s="8"/>
      <c r="IZ21" s="64">
        <f>IZ18-IZ19</f>
        <v>-3046130.5199999991</v>
      </c>
      <c r="JA21" s="8"/>
      <c r="JB21" s="12">
        <f>JB18-JB19</f>
        <v>-2632211.7614999991</v>
      </c>
      <c r="JC21" s="8"/>
      <c r="JD21" s="12">
        <f>JD18-JD19</f>
        <v>592915.72225003014</v>
      </c>
      <c r="JE21" s="8"/>
      <c r="JF21" s="12">
        <f>JF18-JF19</f>
        <v>-62100591.169249974</v>
      </c>
      <c r="JI21" s="7" t="s">
        <v>43</v>
      </c>
      <c r="JJ21" s="12">
        <f>JJ18-JJ19</f>
        <v>-36061637.159999996</v>
      </c>
      <c r="JK21" s="13"/>
      <c r="JL21" s="12">
        <f>JL18-JL19</f>
        <v>-9190123.4399999995</v>
      </c>
      <c r="JM21" s="8"/>
      <c r="JN21" s="64">
        <f>JN18-JN19</f>
        <v>-1452197.02</v>
      </c>
      <c r="JO21" s="8"/>
      <c r="JP21" s="12">
        <f>JP18-JP19</f>
        <v>-2250474.6809999989</v>
      </c>
      <c r="JQ21" s="8"/>
      <c r="JR21" s="12">
        <f>JR18-JR19</f>
        <v>367469.30150000006</v>
      </c>
      <c r="JS21" s="8"/>
      <c r="JT21" s="12">
        <f>JT18-JT19</f>
        <v>-48586962.999499992</v>
      </c>
      <c r="JW21" s="7" t="s">
        <v>43</v>
      </c>
      <c r="JX21" s="12">
        <f>JX18-JX19</f>
        <v>-21020477.93</v>
      </c>
      <c r="JY21" s="13"/>
      <c r="JZ21" s="12">
        <f>JZ18-JZ19</f>
        <v>-4312377.6899999995</v>
      </c>
      <c r="KA21" s="8"/>
      <c r="KB21" s="64">
        <f>KB18-KB19</f>
        <v>-643739.62999999942</v>
      </c>
      <c r="KC21" s="8"/>
      <c r="KD21" s="12">
        <f>KD18-KD19</f>
        <v>-997033.33049999992</v>
      </c>
      <c r="KE21" s="8"/>
      <c r="KF21" s="12">
        <f>KF18-KF19</f>
        <v>168781.01074999996</v>
      </c>
      <c r="KG21" s="8"/>
      <c r="KH21" s="12">
        <f>KH18-KH19</f>
        <v>-26804847.569749996</v>
      </c>
      <c r="KK21" s="7" t="s">
        <v>43</v>
      </c>
      <c r="KL21" s="12">
        <f>KL18-KL19</f>
        <v>-78931581.50999999</v>
      </c>
      <c r="KM21" s="13"/>
      <c r="KN21" s="12">
        <f>KN18-KN19</f>
        <v>-18419832.009999998</v>
      </c>
      <c r="KO21" s="8"/>
      <c r="KP21" s="64">
        <f>KP18-KP19</f>
        <v>-3068673.7000000044</v>
      </c>
      <c r="KQ21" s="8"/>
      <c r="KR21" s="12">
        <f>KR18-KR19</f>
        <v>-5012724.1619999986</v>
      </c>
      <c r="KS21" s="8"/>
      <c r="KT21" s="12">
        <f>KT18-KT19</f>
        <v>473631.1454500003</v>
      </c>
      <c r="KU21" s="8"/>
      <c r="KV21" s="12">
        <f>KV18-KV19</f>
        <v>-104959180.23654999</v>
      </c>
      <c r="KY21" s="7" t="s">
        <v>43</v>
      </c>
      <c r="KZ21" s="12">
        <f>KZ18-KZ19</f>
        <v>-62701583.019999996</v>
      </c>
      <c r="LA21" s="13"/>
      <c r="LB21" s="12">
        <f>LB18-LB19</f>
        <v>-13815064.919999998</v>
      </c>
      <c r="LC21" s="8"/>
      <c r="LD21" s="64">
        <f>LD18-LD19</f>
        <v>-2485971.7500000019</v>
      </c>
      <c r="LE21" s="8"/>
      <c r="LF21" s="12">
        <f>LF18-LF19</f>
        <v>-3412758.0315000005</v>
      </c>
      <c r="LG21" s="8"/>
      <c r="LH21" s="12">
        <f>LH18-LH19</f>
        <v>321653.2906000003</v>
      </c>
      <c r="LI21" s="8"/>
      <c r="LJ21" s="12">
        <f>LJ18-LJ19</f>
        <v>-82093724.430900007</v>
      </c>
      <c r="LM21" s="7" t="s">
        <v>43</v>
      </c>
      <c r="LN21" s="12">
        <f>LN18-LN19</f>
        <v>-49268342.050000004</v>
      </c>
      <c r="LO21" s="13"/>
      <c r="LP21" s="12">
        <f>LP18-LP19</f>
        <v>-10125691.960000001</v>
      </c>
      <c r="LQ21" s="8"/>
      <c r="LR21" s="56">
        <f>LR18-LR19</f>
        <v>-1712949.37</v>
      </c>
      <c r="LS21" s="8"/>
      <c r="LT21" s="12">
        <f>LT18-LT19</f>
        <v>-2334649.7009999994</v>
      </c>
      <c r="LU21" s="8"/>
      <c r="LV21" s="12">
        <f>LV18-LV19</f>
        <v>178928.15674999979</v>
      </c>
      <c r="LW21" s="8"/>
      <c r="LX21" s="12">
        <f>LX18-LX19</f>
        <v>-63262704.924249992</v>
      </c>
      <c r="LZ21" s="7" t="s">
        <v>43</v>
      </c>
      <c r="MA21" s="12">
        <f>MA18-MA19</f>
        <v>-24966073.439999998</v>
      </c>
      <c r="MB21" s="13"/>
      <c r="MC21" s="12">
        <f>MC18-MC19</f>
        <v>-4641994.3592599807</v>
      </c>
      <c r="MD21" s="8"/>
      <c r="ME21" s="56">
        <f>ME18-ME19</f>
        <v>-892250.29000000027</v>
      </c>
      <c r="MF21" s="8"/>
      <c r="MG21" s="12">
        <f>MG18-MG19</f>
        <v>-1218598.4505</v>
      </c>
      <c r="MH21" s="8"/>
      <c r="MI21" s="12">
        <f>MI18-MI19</f>
        <v>-65512.020740012522</v>
      </c>
      <c r="MJ21" s="8"/>
      <c r="MK21" s="12">
        <f>MK18-MK19</f>
        <v>-31784428.560499992</v>
      </c>
      <c r="ML21" s="8"/>
      <c r="MM21" s="7" t="s">
        <v>43</v>
      </c>
      <c r="MN21" s="12">
        <f>MN18-MN19</f>
        <v>-91984679.370000005</v>
      </c>
      <c r="MO21" s="13"/>
      <c r="MP21" s="12">
        <f>MP18-MP19</f>
        <v>-13130230.690000001</v>
      </c>
      <c r="MQ21" s="8"/>
      <c r="MR21" s="64">
        <f>MR18-MR19</f>
        <v>-2395488.9399999995</v>
      </c>
      <c r="MS21" s="8"/>
      <c r="MT21" s="12">
        <f>MT18-MT19</f>
        <v>-7406839.9619999994</v>
      </c>
      <c r="MU21" s="8"/>
      <c r="MV21" s="12">
        <f>MV18-MV19</f>
        <v>205340.75000000035</v>
      </c>
      <c r="MW21" s="8"/>
      <c r="MX21" s="12">
        <f>MX18-MX19</f>
        <v>-114711898.21199998</v>
      </c>
      <c r="NA21" s="7" t="s">
        <v>43</v>
      </c>
      <c r="NB21" s="12">
        <f>NB18-NB19</f>
        <v>-67827765.25</v>
      </c>
      <c r="NC21" s="13"/>
      <c r="ND21" s="12">
        <f>ND18-ND19</f>
        <v>-9426486.7899999991</v>
      </c>
      <c r="NE21" s="8"/>
      <c r="NF21" s="64">
        <f>NF18-NF19</f>
        <v>-1350207.6599999988</v>
      </c>
      <c r="NG21" s="8"/>
      <c r="NH21" s="12">
        <f>NH18-NH19</f>
        <v>-4716856.8614999978</v>
      </c>
      <c r="NI21" s="8"/>
      <c r="NJ21" s="12">
        <f>NJ18-NJ19</f>
        <v>137887.50000000017</v>
      </c>
      <c r="NK21" s="8"/>
      <c r="NL21" s="12">
        <f>NL18-NL19</f>
        <v>-83183429.061499983</v>
      </c>
      <c r="NO21" s="7" t="s">
        <v>43</v>
      </c>
      <c r="NP21" s="12">
        <f>NP18-NP19</f>
        <v>-59335667.210000001</v>
      </c>
      <c r="NQ21" s="13"/>
      <c r="NR21" s="12">
        <f>NR18-NR19</f>
        <v>-5599865.2899999991</v>
      </c>
      <c r="NS21" s="8"/>
      <c r="NT21" s="56">
        <f>NT18-NT19</f>
        <v>-642441.96999999974</v>
      </c>
      <c r="NU21" s="8"/>
      <c r="NV21" s="12">
        <f>NV18-NV19</f>
        <v>-3271004.7156070806</v>
      </c>
      <c r="NW21" s="8"/>
      <c r="NX21" s="12">
        <f>NX18-NX19</f>
        <v>63365.130000000281</v>
      </c>
      <c r="NY21" s="8"/>
      <c r="NZ21" s="12">
        <f>NZ18-NZ19</f>
        <v>-68785614.05560708</v>
      </c>
      <c r="OB21" s="7" t="s">
        <v>43</v>
      </c>
      <c r="OC21" s="12">
        <f>OC18-OC19</f>
        <v>-48657004.400000006</v>
      </c>
      <c r="OD21" s="13"/>
      <c r="OE21" s="12">
        <f>OE18-OE19</f>
        <v>-3193365.68</v>
      </c>
      <c r="OF21" s="8"/>
      <c r="OG21" s="56">
        <f>OG18-OG19</f>
        <v>-411368.23</v>
      </c>
      <c r="OH21" s="8"/>
      <c r="OI21" s="12">
        <f>OI18-OI19</f>
        <v>-1195082.3951070802</v>
      </c>
      <c r="OJ21" s="8"/>
      <c r="OK21" s="12">
        <f>OK18-OK19</f>
        <v>-3.8562575355172157E-10</v>
      </c>
      <c r="OL21" s="8"/>
      <c r="OM21" s="12">
        <f>OM18-OM19</f>
        <v>-53456820.705107078</v>
      </c>
      <c r="OO21" s="7" t="s">
        <v>43</v>
      </c>
      <c r="OP21" s="12">
        <f>OP18-OP19</f>
        <v>-64814687.949999996</v>
      </c>
      <c r="OQ21" s="13"/>
      <c r="OR21" s="12">
        <f>OR18-OR19</f>
        <v>-18862074.190000001</v>
      </c>
      <c r="OS21" s="8"/>
      <c r="OT21" s="56">
        <f>OT18-OT19</f>
        <v>-1115708.1300000008</v>
      </c>
      <c r="OU21" s="8"/>
      <c r="OV21" s="12">
        <f>OV18-OV19</f>
        <v>3161131.6897666655</v>
      </c>
      <c r="OW21" s="8"/>
      <c r="OX21" s="12">
        <f>OX18-OX19</f>
        <v>-410807.5178299885</v>
      </c>
      <c r="OY21" s="8"/>
      <c r="OZ21" s="12">
        <f>OZ18-OZ19</f>
        <v>-82042146.09806332</v>
      </c>
      <c r="PA21" s="23"/>
      <c r="PB21" s="7" t="s">
        <v>43</v>
      </c>
      <c r="PC21" s="12">
        <f>PC18-PC19</f>
        <v>-49120602.190000005</v>
      </c>
      <c r="PD21" s="13"/>
      <c r="PE21" s="12">
        <f>PE18-PE19</f>
        <v>-17106319.099999994</v>
      </c>
      <c r="PF21" s="8"/>
      <c r="PG21" s="41">
        <f>PG18-PG19</f>
        <v>0</v>
      </c>
      <c r="PH21" s="12">
        <f>PH18-PH19</f>
        <v>0</v>
      </c>
      <c r="PI21" s="12">
        <f>PI18-PI19</f>
        <v>7340004.6302666683</v>
      </c>
      <c r="PJ21" s="8"/>
      <c r="PK21" s="12">
        <f>PK18-PK19</f>
        <v>-525585.20000000007</v>
      </c>
      <c r="PL21" s="8"/>
      <c r="PM21" s="12">
        <f>PM18-PM19</f>
        <v>-59412501.859733313</v>
      </c>
      <c r="PN21" s="23"/>
      <c r="PO21" s="7" t="s">
        <v>43</v>
      </c>
      <c r="PP21" s="12">
        <f>PP18-PP19</f>
        <v>-43687312.549999997</v>
      </c>
      <c r="PQ21" s="13"/>
      <c r="PR21" s="12">
        <f>PR18-PR19</f>
        <v>-13833987.270000003</v>
      </c>
      <c r="PS21" s="8"/>
      <c r="PT21" s="41">
        <f>PT18-PT19</f>
        <v>0</v>
      </c>
      <c r="PU21" s="12"/>
      <c r="PV21" s="12">
        <f>PV18-PV19</f>
        <v>5401032.9696666673</v>
      </c>
      <c r="PW21" s="8"/>
      <c r="PX21" s="12">
        <f>PX18-PX19</f>
        <v>-495027.53000000084</v>
      </c>
      <c r="PY21" s="8"/>
      <c r="PZ21" s="12">
        <f>PZ18-PZ19</f>
        <v>-52615294.380333334</v>
      </c>
      <c r="QA21" s="23"/>
      <c r="QB21" s="7" t="s">
        <v>43</v>
      </c>
      <c r="QC21" s="12">
        <f>QC18-QC19</f>
        <v>-40160309.940000005</v>
      </c>
      <c r="QD21" s="13"/>
      <c r="QE21" s="12">
        <f>QE18-QE19</f>
        <v>-11259525.880000001</v>
      </c>
      <c r="QF21" s="8"/>
      <c r="QG21" s="41">
        <f>QG18-QG19</f>
        <v>0</v>
      </c>
      <c r="QH21" s="12">
        <f>QH18-QH19</f>
        <v>0</v>
      </c>
      <c r="QI21" s="12">
        <f>QI18-QI19</f>
        <v>-1440635.8999999997</v>
      </c>
      <c r="QJ21" s="8"/>
      <c r="QK21" s="12">
        <f>QK18-QK19</f>
        <v>-228176.72999999928</v>
      </c>
      <c r="QL21" s="8"/>
      <c r="QM21" s="12">
        <f>QM18-QM19</f>
        <v>-53088648.449999996</v>
      </c>
      <c r="QN21" s="23"/>
      <c r="QO21" s="7" t="s">
        <v>43</v>
      </c>
      <c r="QP21" s="12">
        <f>QP18-QP19</f>
        <v>-12966371.649999999</v>
      </c>
      <c r="QQ21" s="13"/>
      <c r="QR21" s="12">
        <f>QR18-QR19</f>
        <v>-8043111.0600000005</v>
      </c>
      <c r="QS21" s="8"/>
      <c r="QT21" s="12">
        <f>QT18-QT19</f>
        <v>-2592219.3599999994</v>
      </c>
      <c r="QU21" s="12">
        <f>QU18-QU19</f>
        <v>0</v>
      </c>
      <c r="QV21" s="12">
        <f>QV18-QV19</f>
        <v>-733098.04999999935</v>
      </c>
      <c r="QW21" s="8"/>
      <c r="QX21" s="12">
        <f>QX18-QX19</f>
        <v>-189476.66000000044</v>
      </c>
      <c r="QY21" s="8"/>
      <c r="QZ21" s="12">
        <f>QZ18-QZ19</f>
        <v>-24524276.780000001</v>
      </c>
      <c r="RA21" s="23"/>
      <c r="RB21" s="7" t="s">
        <v>43</v>
      </c>
      <c r="RC21" s="12">
        <f>RC18-RC19</f>
        <v>-7467374.5999999996</v>
      </c>
      <c r="RD21" s="13"/>
      <c r="RE21" s="12">
        <f>RE18-RE19</f>
        <v>-4855243.5200000005</v>
      </c>
      <c r="RF21" s="8"/>
      <c r="RG21" s="12">
        <f>RG18-RG19</f>
        <v>-1645855.47</v>
      </c>
      <c r="RH21" s="12">
        <f>RH18-RH19</f>
        <v>0</v>
      </c>
      <c r="RI21" s="12">
        <f>RI18-RI19</f>
        <v>-549012.20999999961</v>
      </c>
      <c r="RJ21" s="8"/>
      <c r="RK21" s="12">
        <f>RK18-RK19</f>
        <v>-196636.66000000006</v>
      </c>
      <c r="RL21" s="8"/>
      <c r="RM21" s="12">
        <f>RM18-RM19</f>
        <v>-14714122.460000001</v>
      </c>
      <c r="RN21" s="23"/>
      <c r="RO21" s="7" t="s">
        <v>43</v>
      </c>
      <c r="RP21" s="12">
        <f>RP18-RP19</f>
        <v>-3352873.94</v>
      </c>
      <c r="RQ21" s="13"/>
      <c r="RR21" s="12">
        <f>RR18-RR19</f>
        <v>-2373646.7100000004</v>
      </c>
      <c r="RS21" s="8"/>
      <c r="RT21" s="12">
        <f>RT18-RT19</f>
        <v>-813461</v>
      </c>
      <c r="RU21" s="12">
        <f>RU18-RU19</f>
        <v>0</v>
      </c>
      <c r="RV21" s="12">
        <f>RV18-RV19</f>
        <v>-74750.349999999744</v>
      </c>
      <c r="RW21" s="8"/>
      <c r="RX21" s="12">
        <f>RX18-RX19</f>
        <v>-68171.810000000827</v>
      </c>
      <c r="RY21" s="8"/>
      <c r="RZ21" s="36">
        <f>RZ18-RZ19</f>
        <v>-6682903.8100000005</v>
      </c>
      <c r="SA21" s="23"/>
      <c r="SB21" s="7" t="s">
        <v>43</v>
      </c>
      <c r="SC21" s="12">
        <f>SC18-SC19</f>
        <v>-29417066.509999998</v>
      </c>
      <c r="SD21" s="13"/>
      <c r="SE21" s="12">
        <f>SE18-SE19</f>
        <v>-9323560.0999999978</v>
      </c>
      <c r="SF21" s="8"/>
      <c r="SG21" s="12">
        <f>SG18-SG19</f>
        <v>-3415662.02</v>
      </c>
      <c r="SH21" s="12">
        <f>SH18-SH19</f>
        <v>0</v>
      </c>
      <c r="SI21" s="12">
        <f>SI18-SI19</f>
        <v>559572.90000000154</v>
      </c>
      <c r="SJ21" s="8"/>
      <c r="SK21" s="12">
        <f>SK18-SK19</f>
        <v>-2192300.1800000025</v>
      </c>
      <c r="SL21" s="8"/>
      <c r="SM21" s="12">
        <f>SM18-SM19</f>
        <v>-43789015.909999996</v>
      </c>
      <c r="SN21" s="23"/>
      <c r="SO21" s="7" t="s">
        <v>43</v>
      </c>
      <c r="SP21" s="12">
        <f>SP18-SP19</f>
        <v>-20932359.259999998</v>
      </c>
      <c r="SQ21" s="13"/>
      <c r="SR21" s="12">
        <f>SR18-SR19</f>
        <v>-6663658.9099999983</v>
      </c>
      <c r="SS21" s="8"/>
      <c r="ST21" s="12">
        <f>ST18-ST19</f>
        <v>-2513799.04</v>
      </c>
      <c r="SU21" s="12">
        <f>SU18-SU19</f>
        <v>0</v>
      </c>
      <c r="SV21" s="12">
        <f>SV18-SV19</f>
        <v>-388693.74</v>
      </c>
      <c r="SW21" s="8"/>
      <c r="SX21" s="12">
        <f>SX18-SX19</f>
        <v>-1097267.3400000001</v>
      </c>
      <c r="SY21" s="8"/>
      <c r="SZ21" s="12">
        <f>SZ18-SZ19</f>
        <v>-31595778.289999999</v>
      </c>
      <c r="TA21" s="23"/>
      <c r="TB21" s="7" t="s">
        <v>43</v>
      </c>
      <c r="TC21" s="12">
        <f>TC18-TC19</f>
        <v>-11679324.15</v>
      </c>
      <c r="TD21" s="13"/>
      <c r="TE21" s="12">
        <f>TE18-TE19</f>
        <v>-4151759.9800000009</v>
      </c>
      <c r="TF21" s="8"/>
      <c r="TG21" s="12">
        <f>TG18-TG19</f>
        <v>-1560736.6</v>
      </c>
      <c r="TH21" s="12">
        <f>TH18-TH19</f>
        <v>0</v>
      </c>
      <c r="TI21" s="12">
        <f>TI18-TI19</f>
        <v>-92533.940000000759</v>
      </c>
      <c r="TJ21" s="8"/>
      <c r="TK21" s="12">
        <f>TK18-TK19</f>
        <v>-930588.19999999972</v>
      </c>
      <c r="TL21" s="8"/>
      <c r="TM21" s="12">
        <f>TM18-TM19</f>
        <v>-18414942.870000005</v>
      </c>
      <c r="TN21" s="23"/>
      <c r="TO21" s="7" t="s">
        <v>43</v>
      </c>
      <c r="TP21" s="12">
        <f>TP18-TP19</f>
        <v>-3751163.8500000006</v>
      </c>
      <c r="TQ21" s="13"/>
      <c r="TR21" s="12">
        <f>TR18-TR19</f>
        <v>-2102151.4499999997</v>
      </c>
      <c r="TS21" s="8"/>
      <c r="TT21" s="12">
        <f>TT18-TT19</f>
        <v>-868527.52</v>
      </c>
      <c r="TU21" s="12">
        <f>TU18-TU19</f>
        <v>0</v>
      </c>
      <c r="TV21" s="12">
        <f>TV18-TV19</f>
        <v>-381159.25999999983</v>
      </c>
      <c r="TW21" s="8"/>
      <c r="TX21" s="12">
        <f>TX18-TX19</f>
        <v>-20363.03000000001</v>
      </c>
      <c r="TY21" s="8"/>
      <c r="TZ21" s="12">
        <f>TZ18-TZ19</f>
        <v>-7123365.1100000003</v>
      </c>
      <c r="UA21" s="23"/>
      <c r="UB21" s="7" t="s">
        <v>43</v>
      </c>
      <c r="UC21" s="12">
        <f>UC18-UC19</f>
        <v>-63614653.649999999</v>
      </c>
      <c r="UD21" s="13"/>
      <c r="UE21" s="12">
        <f>UE18-UE19</f>
        <v>-10671645.500000002</v>
      </c>
      <c r="UF21" s="8"/>
      <c r="UG21" s="12">
        <f>UG18-UG19</f>
        <v>-3241223.2199999993</v>
      </c>
      <c r="UH21" s="12">
        <f>UH18-UH19</f>
        <v>0</v>
      </c>
      <c r="UI21" s="12">
        <f>UI18-UI19</f>
        <v>-1187708.909999989</v>
      </c>
      <c r="UJ21" s="8"/>
      <c r="UK21" s="12">
        <f>UK18-UK19</f>
        <v>-204101.38999999585</v>
      </c>
      <c r="UL21" s="8"/>
      <c r="UM21" s="12">
        <f>UM18-UM19</f>
        <v>-78919332.670000002</v>
      </c>
      <c r="UN21" s="23"/>
      <c r="UO21" s="7" t="s">
        <v>43</v>
      </c>
      <c r="UP21" s="12">
        <f>UP18-UP19</f>
        <v>-43999673.18</v>
      </c>
      <c r="UQ21" s="13"/>
      <c r="UR21" s="12">
        <f>UR18-UR19</f>
        <v>-7544946.5499999998</v>
      </c>
      <c r="US21" s="8"/>
      <c r="UT21" s="12">
        <f>UT18-UT19</f>
        <v>-2260887.37</v>
      </c>
      <c r="UU21" s="12">
        <f>UU18-UU19</f>
        <v>0</v>
      </c>
      <c r="UV21" s="12">
        <f>UV18-UV19</f>
        <v>-1150432.3999999962</v>
      </c>
      <c r="UW21" s="8"/>
      <c r="UX21" s="12">
        <f>UX18-UX19</f>
        <v>-128811.67999999576</v>
      </c>
      <c r="UY21" s="8"/>
      <c r="UZ21" s="12">
        <f>UZ18-UZ19</f>
        <v>-55084751.179999992</v>
      </c>
      <c r="VA21" s="23"/>
      <c r="VB21" s="23" t="s">
        <v>43</v>
      </c>
      <c r="VC21" s="12">
        <v>-766006.87000000128</v>
      </c>
      <c r="VD21" s="13"/>
      <c r="VE21" s="12">
        <v>312582.64999999898</v>
      </c>
      <c r="VF21" s="8"/>
      <c r="VG21" s="12">
        <v>70593.709999999977</v>
      </c>
      <c r="VH21" s="8"/>
      <c r="VI21" s="12">
        <v>-788700.14999999991</v>
      </c>
      <c r="VJ21" s="8"/>
      <c r="VK21" s="12">
        <v>-94797.279999999329</v>
      </c>
      <c r="VM21" s="12">
        <v>-1266327.9400000009</v>
      </c>
      <c r="VN21" s="23"/>
      <c r="VO21" s="23" t="s">
        <v>43</v>
      </c>
      <c r="VP21" s="12">
        <f>608.538970000001*1000</f>
        <v>608538.97000000102</v>
      </c>
      <c r="VQ21" s="13"/>
      <c r="VR21" s="12">
        <f>43.8928000000005*1000</f>
        <v>43892.800000000498</v>
      </c>
      <c r="VS21" s="8"/>
      <c r="VT21" s="12">
        <f>-32.56647*1000</f>
        <v>-32566.47</v>
      </c>
      <c r="VU21" s="8"/>
      <c r="VV21" s="12">
        <f>-314.85562*1000</f>
        <v>-314855.62</v>
      </c>
      <c r="VW21" s="8"/>
      <c r="VX21" s="12">
        <f>-30.2680899999999*1000</f>
        <v>-30268.089999999902</v>
      </c>
      <c r="VZ21" s="12">
        <f>274.741590000003*1000</f>
        <v>274741.59000000299</v>
      </c>
      <c r="WA21" s="23"/>
      <c r="WB21" s="7" t="s">
        <v>43</v>
      </c>
      <c r="WC21" s="12">
        <f>WC18-WC19</f>
        <v>-51478437.159999989</v>
      </c>
      <c r="WD21" s="13"/>
      <c r="WE21" s="12">
        <f>WE18-WE19</f>
        <v>-12104675.07</v>
      </c>
      <c r="WF21" s="8"/>
      <c r="WG21" s="12">
        <f>WG18-WG19</f>
        <v>-2602705.11</v>
      </c>
      <c r="WH21" s="12"/>
      <c r="WI21" s="12">
        <f>WI18-WI19</f>
        <v>-1786355.2800000003</v>
      </c>
      <c r="WJ21" s="8"/>
      <c r="WK21" s="12">
        <f>WK18-WK19</f>
        <v>-968497.69999999739</v>
      </c>
      <c r="WL21" s="8"/>
      <c r="WM21" s="12">
        <f>WM18-WM19</f>
        <v>-68940670.319999993</v>
      </c>
      <c r="WN21" s="23"/>
      <c r="WO21" s="7" t="s">
        <v>43</v>
      </c>
      <c r="WP21" s="12">
        <f>WP18-WP19</f>
        <v>-30375905.009999998</v>
      </c>
      <c r="WQ21" s="13"/>
      <c r="WR21" s="12">
        <f>WR18-WR19</f>
        <v>-9150236.9220599327</v>
      </c>
      <c r="WS21" s="8"/>
      <c r="WT21" s="12">
        <f>WT18-WT19</f>
        <v>-3006390</v>
      </c>
      <c r="WU21" s="12">
        <f>WU18-WU19</f>
        <v>158.928</v>
      </c>
      <c r="WV21" s="12">
        <f>WV18-WV19</f>
        <v>-100087.93940069014</v>
      </c>
      <c r="WW21" s="8"/>
      <c r="WX21" s="12">
        <f>WX18-WX19</f>
        <v>4957.5</v>
      </c>
      <c r="WY21" s="8"/>
      <c r="WZ21" s="12">
        <f>WZ18-WZ19</f>
        <v>-42627503.443460621</v>
      </c>
      <c r="XA21" s="23"/>
      <c r="XB21" s="23" t="s">
        <v>43</v>
      </c>
      <c r="XC21" s="12">
        <v>692167.09293379809</v>
      </c>
      <c r="XD21" s="13"/>
      <c r="XE21" s="12">
        <v>2346458.8400000012</v>
      </c>
      <c r="XF21" s="8"/>
      <c r="XG21" s="12">
        <v>394975.74000000046</v>
      </c>
      <c r="XH21" s="8"/>
      <c r="XI21" s="12">
        <v>-302003.25293379184</v>
      </c>
      <c r="XJ21" s="8"/>
      <c r="XK21" s="12">
        <v>3305.0000000000796</v>
      </c>
      <c r="XM21" s="12">
        <v>3134903.4200000037</v>
      </c>
      <c r="XN21" s="8"/>
      <c r="XO21" s="23" t="s">
        <v>43</v>
      </c>
      <c r="XP21" s="12">
        <f>-519.01676*1000</f>
        <v>-519016.75999999995</v>
      </c>
      <c r="XQ21" s="13"/>
      <c r="XR21" s="12">
        <f>1176.09514*1000</f>
        <v>1176095.1399999999</v>
      </c>
      <c r="XS21" s="8"/>
      <c r="XT21" s="12">
        <f>246.58671*1000</f>
        <v>246586.71000000002</v>
      </c>
      <c r="XU21" s="8">
        <v>0</v>
      </c>
      <c r="XV21" s="12">
        <f>-223.40383*1000</f>
        <v>-223403.83</v>
      </c>
      <c r="XW21" s="8"/>
      <c r="XX21" s="12">
        <f>359.59452*1000</f>
        <v>359594.51999999996</v>
      </c>
      <c r="XZ21" s="12">
        <f>1039.85578*1000</f>
        <v>1039855.7800000001</v>
      </c>
      <c r="YA21" s="8"/>
      <c r="YB21" s="23" t="s">
        <v>43</v>
      </c>
      <c r="YC21" s="12">
        <f>YC18-YC19</f>
        <v>-45543147.530000001</v>
      </c>
      <c r="YD21" s="13"/>
      <c r="YE21" s="12">
        <f>YE18-YE19</f>
        <v>-11395839.109999998</v>
      </c>
      <c r="YF21" s="8"/>
      <c r="YG21" s="12">
        <f>YG18-YG19</f>
        <v>-4931737.82</v>
      </c>
      <c r="YH21" s="8"/>
      <c r="YI21" s="12">
        <f>YI18-YI19</f>
        <v>-454012.60353522515</v>
      </c>
      <c r="YJ21" s="8"/>
      <c r="YK21" s="12">
        <f>YK18-YK19</f>
        <v>-8964766.3787954226</v>
      </c>
      <c r="YM21" s="12">
        <f>YM18-YM19</f>
        <v>-63854296.029321447</v>
      </c>
      <c r="YN21" s="8"/>
      <c r="YO21" s="7" t="s">
        <v>43</v>
      </c>
      <c r="YP21" s="12">
        <f>YP18-YP19</f>
        <v>-27255117.150000002</v>
      </c>
      <c r="YQ21" s="13"/>
      <c r="YR21" s="12">
        <f>YR18-YR19</f>
        <v>-8410963.5299999993</v>
      </c>
      <c r="YS21" s="8"/>
      <c r="YT21" s="12">
        <f>YT18-YT19</f>
        <v>-3789481</v>
      </c>
      <c r="YU21" s="8"/>
      <c r="YV21" s="12">
        <f>YV18-YV19</f>
        <v>87055.253658319358</v>
      </c>
      <c r="YW21" s="8"/>
      <c r="YX21" s="12">
        <f>YX18-YX19</f>
        <v>-7971731.9199999999</v>
      </c>
      <c r="YZ21" s="12">
        <f>YZ18-YZ19</f>
        <v>-39177078.426341683</v>
      </c>
    </row>
    <row r="22" spans="1:676">
      <c r="A22" s="7"/>
      <c r="B22" s="63"/>
      <c r="C22" s="72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Q22" s="7"/>
      <c r="R22" s="63"/>
      <c r="S22" s="72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G22" s="7"/>
      <c r="AH22" s="63"/>
      <c r="AI22" s="72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W22" s="7"/>
      <c r="AX22" s="63"/>
      <c r="AY22" s="72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M22" s="7"/>
      <c r="BN22" s="63"/>
      <c r="BO22" s="72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C22" s="7"/>
      <c r="CD22" s="63"/>
      <c r="CE22" s="72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S22" s="7"/>
      <c r="CT22" s="63"/>
      <c r="CU22" s="72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I22" s="7"/>
      <c r="DJ22" s="63"/>
      <c r="DK22" s="72"/>
      <c r="DL22" s="63"/>
      <c r="DM22" s="63"/>
      <c r="DN22" s="63"/>
      <c r="DO22" s="63"/>
      <c r="DP22" s="63"/>
      <c r="DQ22" s="63"/>
      <c r="DR22" s="63"/>
      <c r="DS22" s="63"/>
      <c r="DT22" s="63"/>
      <c r="DU22" s="63"/>
      <c r="DV22" s="63"/>
      <c r="DY22" s="7"/>
      <c r="DZ22" s="63"/>
      <c r="EA22" s="72"/>
      <c r="EB22" s="63"/>
      <c r="EC22" s="63"/>
      <c r="ED22" s="63"/>
      <c r="EE22" s="63"/>
      <c r="EF22" s="63"/>
      <c r="EG22" s="63"/>
      <c r="EH22" s="63"/>
      <c r="EI22" s="63"/>
      <c r="EJ22" s="63"/>
      <c r="EM22" s="7"/>
      <c r="EN22" s="8"/>
      <c r="EO22" s="13"/>
      <c r="EP22" s="8"/>
      <c r="EQ22" s="8"/>
      <c r="ER22" s="63"/>
      <c r="ES22" s="8"/>
      <c r="ET22" s="8"/>
      <c r="EU22" s="8"/>
      <c r="EV22" s="8"/>
      <c r="EW22" s="8"/>
      <c r="EX22" s="8"/>
      <c r="FA22" s="7"/>
      <c r="FB22" s="8"/>
      <c r="FC22" s="13"/>
      <c r="FD22" s="8"/>
      <c r="FE22" s="8"/>
      <c r="FF22" s="63"/>
      <c r="FG22" s="8"/>
      <c r="FH22" s="54"/>
      <c r="FI22" s="8"/>
      <c r="FJ22" s="8"/>
      <c r="FK22" s="8"/>
      <c r="FL22" s="8"/>
      <c r="FO22" s="7"/>
      <c r="FP22" s="8"/>
      <c r="FQ22" s="13"/>
      <c r="FR22" s="8"/>
      <c r="FS22" s="8"/>
      <c r="FT22" s="63"/>
      <c r="FU22" s="8"/>
      <c r="FV22" s="8"/>
      <c r="FW22" s="8"/>
      <c r="FX22" s="8"/>
      <c r="FY22" s="8"/>
      <c r="FZ22" s="8"/>
      <c r="GC22" s="7"/>
      <c r="GD22" s="8"/>
      <c r="GE22" s="13"/>
      <c r="GF22" s="8"/>
      <c r="GG22" s="8"/>
      <c r="GH22" s="63"/>
      <c r="GI22" s="8"/>
      <c r="GJ22" s="8"/>
      <c r="GK22" s="8"/>
      <c r="GL22" s="8"/>
      <c r="GM22" s="8"/>
      <c r="GN22" s="8"/>
      <c r="GQ22" s="7"/>
      <c r="GR22" s="8"/>
      <c r="GS22" s="13"/>
      <c r="GT22" s="8"/>
      <c r="GU22" s="8"/>
      <c r="GV22" s="63"/>
      <c r="GW22" s="8"/>
      <c r="GX22" s="8"/>
      <c r="GY22" s="8"/>
      <c r="GZ22" s="8"/>
      <c r="HA22" s="8"/>
      <c r="HB22" s="8"/>
      <c r="HE22" s="7"/>
      <c r="HF22" s="8"/>
      <c r="HG22" s="13"/>
      <c r="HH22" s="8"/>
      <c r="HI22" s="8"/>
      <c r="HJ22" s="63"/>
      <c r="HK22" s="8"/>
      <c r="HL22" s="54"/>
      <c r="HM22" s="8"/>
      <c r="HN22" s="8"/>
      <c r="HO22" s="8"/>
      <c r="HP22" s="8"/>
      <c r="HS22" s="7"/>
      <c r="HT22" s="8"/>
      <c r="HU22" s="13"/>
      <c r="HV22" s="8"/>
      <c r="HW22" s="8"/>
      <c r="HX22" s="63"/>
      <c r="HY22" s="8"/>
      <c r="HZ22" s="8"/>
      <c r="IA22" s="8"/>
      <c r="IB22" s="8"/>
      <c r="IC22" s="8"/>
      <c r="ID22" s="8"/>
      <c r="IG22" s="7"/>
      <c r="IH22" s="8"/>
      <c r="II22" s="13"/>
      <c r="IJ22" s="8"/>
      <c r="IK22" s="8"/>
      <c r="IL22" s="63"/>
      <c r="IM22" s="8"/>
      <c r="IN22" s="8"/>
      <c r="IO22" s="8"/>
      <c r="IP22" s="8"/>
      <c r="IQ22" s="8"/>
      <c r="IR22" s="8"/>
      <c r="IU22" s="7"/>
      <c r="IV22" s="8"/>
      <c r="IW22" s="13"/>
      <c r="IX22" s="8"/>
      <c r="IY22" s="8"/>
      <c r="IZ22" s="63"/>
      <c r="JA22" s="8"/>
      <c r="JB22" s="8"/>
      <c r="JC22" s="8"/>
      <c r="JD22" s="8"/>
      <c r="JE22" s="8"/>
      <c r="JF22" s="8"/>
      <c r="JI22" s="7"/>
      <c r="JJ22" s="8"/>
      <c r="JK22" s="13"/>
      <c r="JL22" s="8"/>
      <c r="JM22" s="8"/>
      <c r="JN22" s="63"/>
      <c r="JO22" s="8"/>
      <c r="JP22" s="8"/>
      <c r="JQ22" s="8"/>
      <c r="JR22" s="8"/>
      <c r="JS22" s="8"/>
      <c r="JT22" s="8"/>
      <c r="JW22" s="7"/>
      <c r="JX22" s="8"/>
      <c r="JY22" s="13"/>
      <c r="JZ22" s="8"/>
      <c r="KA22" s="8"/>
      <c r="KB22" s="63"/>
      <c r="KC22" s="8"/>
      <c r="KD22" s="8"/>
      <c r="KE22" s="8"/>
      <c r="KF22" s="8"/>
      <c r="KG22" s="8"/>
      <c r="KH22" s="8"/>
      <c r="KK22" s="7"/>
      <c r="KL22" s="8"/>
      <c r="KM22" s="13"/>
      <c r="KN22" s="8"/>
      <c r="KO22" s="8"/>
      <c r="KP22" s="63"/>
      <c r="KQ22" s="8"/>
      <c r="KR22" s="8"/>
      <c r="KS22" s="8"/>
      <c r="KT22" s="8"/>
      <c r="KU22" s="8"/>
      <c r="KV22" s="8"/>
      <c r="KY22" s="7"/>
      <c r="KZ22" s="8"/>
      <c r="LA22" s="13"/>
      <c r="LB22" s="8"/>
      <c r="LC22" s="8"/>
      <c r="LD22" s="63"/>
      <c r="LE22" s="8"/>
      <c r="LF22" s="8"/>
      <c r="LG22" s="8"/>
      <c r="LH22" s="8"/>
      <c r="LI22" s="8"/>
      <c r="LJ22" s="8"/>
      <c r="LM22" s="7"/>
      <c r="LN22" s="8"/>
      <c r="LO22" s="13"/>
      <c r="LP22" s="8"/>
      <c r="LQ22" s="8"/>
      <c r="LR22" s="54"/>
      <c r="LS22" s="8"/>
      <c r="LT22" s="8"/>
      <c r="LU22" s="8"/>
      <c r="LV22" s="8"/>
      <c r="LW22" s="8"/>
      <c r="LX22" s="8"/>
      <c r="LZ22" s="7"/>
      <c r="MA22" s="8"/>
      <c r="MB22" s="13"/>
      <c r="MC22" s="8"/>
      <c r="MD22" s="8"/>
      <c r="ME22" s="54"/>
      <c r="MF22" s="8"/>
      <c r="MG22" s="8"/>
      <c r="MH22" s="8"/>
      <c r="MI22" s="8"/>
      <c r="MJ22" s="8"/>
      <c r="MK22" s="8"/>
      <c r="ML22" s="8"/>
      <c r="MM22" s="7"/>
      <c r="MN22" s="8"/>
      <c r="MO22" s="13"/>
      <c r="MP22" s="8"/>
      <c r="MQ22" s="8"/>
      <c r="MR22" s="63"/>
      <c r="MS22" s="8"/>
      <c r="MT22" s="8"/>
      <c r="MU22" s="8"/>
      <c r="MV22" s="8"/>
      <c r="MW22" s="8"/>
      <c r="MX22" s="8"/>
      <c r="NA22" s="7"/>
      <c r="NB22" s="8"/>
      <c r="NC22" s="13"/>
      <c r="ND22" s="8"/>
      <c r="NE22" s="8"/>
      <c r="NF22" s="63"/>
      <c r="NG22" s="8"/>
      <c r="NH22" s="8"/>
      <c r="NI22" s="8"/>
      <c r="NJ22" s="8"/>
      <c r="NK22" s="8"/>
      <c r="NL22" s="8"/>
      <c r="NO22" s="7"/>
      <c r="NP22" s="8"/>
      <c r="NQ22" s="13"/>
      <c r="NR22" s="8"/>
      <c r="NS22" s="8"/>
      <c r="NT22" s="54"/>
      <c r="NU22" s="8"/>
      <c r="NV22" s="8"/>
      <c r="NW22" s="8"/>
      <c r="NX22" s="8"/>
      <c r="NY22" s="8"/>
      <c r="NZ22" s="8"/>
      <c r="OB22" s="7"/>
      <c r="OC22" s="8"/>
      <c r="OD22" s="13"/>
      <c r="OE22" s="8"/>
      <c r="OF22" s="8"/>
      <c r="OG22" s="54"/>
      <c r="OH22" s="8"/>
      <c r="OI22" s="8"/>
      <c r="OJ22" s="8"/>
      <c r="OK22" s="8"/>
      <c r="OL22" s="8"/>
      <c r="OM22" s="8"/>
      <c r="OO22" s="7"/>
      <c r="OP22" s="8"/>
      <c r="OQ22" s="13"/>
      <c r="OR22" s="8"/>
      <c r="OS22" s="8"/>
      <c r="OT22" s="54"/>
      <c r="OU22" s="8"/>
      <c r="OV22" s="8"/>
      <c r="OW22" s="8"/>
      <c r="OX22" s="8"/>
      <c r="OY22" s="8"/>
      <c r="OZ22" s="8"/>
      <c r="PA22" s="23"/>
      <c r="PB22" s="7"/>
      <c r="PC22" s="8"/>
      <c r="PD22" s="13"/>
      <c r="PE22" s="8"/>
      <c r="PF22" s="8"/>
      <c r="PG22" s="40"/>
      <c r="PH22" s="8"/>
      <c r="PI22" s="8"/>
      <c r="PJ22" s="8"/>
      <c r="PK22" s="8"/>
      <c r="PL22" s="8"/>
      <c r="PM22" s="8"/>
      <c r="PN22" s="23"/>
      <c r="PO22" s="7"/>
      <c r="PP22" s="8"/>
      <c r="PQ22" s="13"/>
      <c r="PR22" s="8"/>
      <c r="PS22" s="8"/>
      <c r="PT22" s="40"/>
      <c r="PU22" s="8"/>
      <c r="PV22" s="8"/>
      <c r="PW22" s="8"/>
      <c r="PX22" s="8"/>
      <c r="PY22" s="8"/>
      <c r="PZ22" s="8"/>
      <c r="QA22" s="23"/>
      <c r="QB22" s="7"/>
      <c r="QC22" s="8"/>
      <c r="QD22" s="13"/>
      <c r="QE22" s="8"/>
      <c r="QF22" s="8"/>
      <c r="QG22" s="40"/>
      <c r="QH22" s="8"/>
      <c r="QI22" s="8"/>
      <c r="QJ22" s="8"/>
      <c r="QK22" s="8"/>
      <c r="QL22" s="8"/>
      <c r="QM22" s="8"/>
      <c r="QN22" s="23"/>
      <c r="QO22" s="7"/>
      <c r="QP22" s="8"/>
      <c r="QQ22" s="13"/>
      <c r="QR22" s="8"/>
      <c r="QS22" s="8"/>
      <c r="QT22" s="8"/>
      <c r="QU22" s="8"/>
      <c r="QV22" s="8"/>
      <c r="QW22" s="8"/>
      <c r="QX22" s="8"/>
      <c r="QY22" s="8"/>
      <c r="QZ22" s="8"/>
      <c r="RA22" s="23"/>
      <c r="RB22" s="7"/>
      <c r="RC22" s="8"/>
      <c r="RD22" s="13"/>
      <c r="RE22" s="8"/>
      <c r="RF22" s="8"/>
      <c r="RG22" s="8"/>
      <c r="RH22" s="8"/>
      <c r="RI22" s="8"/>
      <c r="RJ22" s="8"/>
      <c r="RK22" s="8"/>
      <c r="RL22" s="8"/>
      <c r="RM22" s="8"/>
      <c r="RN22" s="23"/>
      <c r="RO22" s="7"/>
      <c r="RP22" s="8"/>
      <c r="RQ22" s="13"/>
      <c r="RR22" s="8"/>
      <c r="RS22" s="8"/>
      <c r="RT22" s="8"/>
      <c r="RU22" s="8"/>
      <c r="RV22" s="8"/>
      <c r="RW22" s="8"/>
      <c r="RX22" s="8"/>
      <c r="RY22" s="8"/>
      <c r="RZ22" s="57"/>
      <c r="SA22" s="23"/>
      <c r="SB22" s="7"/>
      <c r="SC22" s="8"/>
      <c r="SD22" s="13"/>
      <c r="SE22" s="8"/>
      <c r="SF22" s="8"/>
      <c r="SG22" s="8"/>
      <c r="SH22" s="8"/>
      <c r="SI22" s="8"/>
      <c r="SJ22" s="8"/>
      <c r="SK22" s="8"/>
      <c r="SL22" s="8"/>
      <c r="SM22" s="8"/>
      <c r="SN22" s="23"/>
      <c r="SO22" s="7"/>
      <c r="SP22" s="8"/>
      <c r="SQ22" s="13"/>
      <c r="SR22" s="8"/>
      <c r="SS22" s="8"/>
      <c r="ST22" s="8"/>
      <c r="SU22" s="8"/>
      <c r="SV22" s="8"/>
      <c r="SW22" s="8"/>
      <c r="SX22" s="8"/>
      <c r="SY22" s="8"/>
      <c r="SZ22" s="8"/>
      <c r="TA22" s="23"/>
      <c r="TB22" s="7"/>
      <c r="TC22" s="8"/>
      <c r="TD22" s="13"/>
      <c r="TE22" s="8"/>
      <c r="TF22" s="8"/>
      <c r="TG22" s="8"/>
      <c r="TH22" s="8"/>
      <c r="TI22" s="8"/>
      <c r="TJ22" s="8"/>
      <c r="TK22" s="8"/>
      <c r="TL22" s="8"/>
      <c r="TM22" s="8"/>
      <c r="TN22" s="23"/>
      <c r="TO22" s="7"/>
      <c r="TP22" s="8"/>
      <c r="TQ22" s="13"/>
      <c r="TR22" s="8"/>
      <c r="TS22" s="8"/>
      <c r="TT22" s="8"/>
      <c r="TU22" s="8"/>
      <c r="TV22" s="8"/>
      <c r="TW22" s="8"/>
      <c r="TX22" s="8"/>
      <c r="TY22" s="8"/>
      <c r="TZ22" s="8"/>
      <c r="UA22" s="23"/>
      <c r="UB22" s="7"/>
      <c r="UC22" s="8"/>
      <c r="UD22" s="13"/>
      <c r="UE22" s="8"/>
      <c r="UF22" s="8"/>
      <c r="UG22" s="8"/>
      <c r="UH22" s="8"/>
      <c r="UI22" s="8"/>
      <c r="UJ22" s="8"/>
      <c r="UK22" s="8"/>
      <c r="UL22" s="8"/>
      <c r="UM22" s="8"/>
      <c r="UN22" s="23"/>
      <c r="UO22" s="7"/>
      <c r="UP22" s="8"/>
      <c r="UQ22" s="13"/>
      <c r="UR22" s="8"/>
      <c r="US22" s="8"/>
      <c r="UT22" s="8"/>
      <c r="UU22" s="8"/>
      <c r="UV22" s="8"/>
      <c r="UW22" s="8"/>
      <c r="UX22" s="8"/>
      <c r="UY22" s="8"/>
      <c r="UZ22" s="8"/>
      <c r="VA22" s="23"/>
      <c r="VB22" s="23"/>
      <c r="VC22" s="8"/>
      <c r="VD22" s="13"/>
      <c r="VE22" s="8"/>
      <c r="VF22" s="8"/>
      <c r="VG22" s="8"/>
      <c r="VH22" s="8"/>
      <c r="VI22" s="8"/>
      <c r="VJ22" s="8"/>
      <c r="VK22" s="8"/>
      <c r="VM22" s="8"/>
      <c r="VN22" s="23"/>
      <c r="VO22" s="23"/>
      <c r="VP22" s="8"/>
      <c r="VQ22" s="13"/>
      <c r="VR22" s="8"/>
      <c r="VS22" s="8"/>
      <c r="VT22" s="8"/>
      <c r="VU22" s="8"/>
      <c r="VV22" s="8"/>
      <c r="VW22" s="8"/>
      <c r="VX22" s="8"/>
      <c r="VZ22" s="8"/>
      <c r="WA22" s="23"/>
      <c r="WB22" s="7"/>
      <c r="WC22" s="8"/>
      <c r="WD22" s="13"/>
      <c r="WE22" s="8"/>
      <c r="WF22" s="8"/>
      <c r="WG22" s="8"/>
      <c r="WH22" s="8"/>
      <c r="WI22" s="8"/>
      <c r="WJ22" s="8"/>
      <c r="WK22" s="8"/>
      <c r="WL22" s="8"/>
      <c r="WM22" s="8"/>
      <c r="WN22" s="23"/>
      <c r="WO22" s="7"/>
      <c r="WP22" s="8"/>
      <c r="WQ22" s="13"/>
      <c r="WR22" s="8"/>
      <c r="WS22" s="8"/>
      <c r="WT22" s="8"/>
      <c r="WU22" s="8"/>
      <c r="WV22" s="8"/>
      <c r="WW22" s="8"/>
      <c r="WX22" s="8"/>
      <c r="WY22" s="8"/>
      <c r="WZ22" s="8"/>
      <c r="XA22" s="23"/>
      <c r="XB22" s="23"/>
      <c r="XC22" s="8"/>
      <c r="XD22" s="13"/>
      <c r="XE22" s="8"/>
      <c r="XF22" s="8"/>
      <c r="XG22" s="8"/>
      <c r="XH22" s="8"/>
      <c r="XI22" s="8"/>
      <c r="XJ22" s="8"/>
      <c r="XK22" s="8"/>
      <c r="XM22" s="8"/>
      <c r="XN22" s="8"/>
      <c r="XO22" s="23"/>
      <c r="XP22" s="8"/>
      <c r="XQ22" s="13"/>
      <c r="XR22" s="8"/>
      <c r="XS22" s="8"/>
      <c r="XT22" s="8"/>
      <c r="XU22" s="8"/>
      <c r="XV22" s="8"/>
      <c r="XW22" s="8"/>
      <c r="XX22" s="8"/>
      <c r="XZ22" s="8"/>
      <c r="YA22" s="8"/>
      <c r="YB22" s="23"/>
      <c r="YC22" s="8"/>
      <c r="YD22" s="13"/>
      <c r="YE22" s="8"/>
      <c r="YF22" s="8"/>
      <c r="YG22" s="8"/>
      <c r="YH22" s="8"/>
      <c r="YI22" s="8"/>
      <c r="YJ22" s="8"/>
      <c r="YK22" s="8"/>
      <c r="YM22" s="8"/>
      <c r="YN22" s="8"/>
      <c r="YO22" s="7"/>
      <c r="YP22" s="8"/>
      <c r="YQ22" s="13"/>
      <c r="YR22" s="8"/>
      <c r="YS22" s="8"/>
      <c r="YT22" s="8"/>
      <c r="YU22" s="8"/>
      <c r="YV22" s="8"/>
      <c r="YW22" s="8"/>
      <c r="YX22" s="8"/>
      <c r="YZ22" s="8"/>
    </row>
    <row r="23" spans="1:676" ht="11" thickBot="1">
      <c r="A23" s="7" t="s">
        <v>128</v>
      </c>
      <c r="B23" s="64">
        <v>0</v>
      </c>
      <c r="C23" s="72"/>
      <c r="D23" s="64">
        <v>0</v>
      </c>
      <c r="E23" s="63"/>
      <c r="F23" s="64">
        <v>0</v>
      </c>
      <c r="G23" s="63"/>
      <c r="H23" s="64">
        <f>H18-H19</f>
        <v>-27634575.140000001</v>
      </c>
      <c r="I23" s="63"/>
      <c r="J23" s="64">
        <v>0</v>
      </c>
      <c r="K23" s="63"/>
      <c r="L23" s="64">
        <v>0</v>
      </c>
      <c r="M23" s="63"/>
      <c r="N23" s="64">
        <f>SUM(B23:L23)</f>
        <v>-27634575.140000001</v>
      </c>
      <c r="Q23" s="7" t="s">
        <v>128</v>
      </c>
      <c r="R23" s="64">
        <v>0</v>
      </c>
      <c r="S23" s="72"/>
      <c r="T23" s="64">
        <v>0</v>
      </c>
      <c r="U23" s="63"/>
      <c r="V23" s="64">
        <v>0</v>
      </c>
      <c r="W23" s="63"/>
      <c r="X23" s="64">
        <f>X18-X19</f>
        <v>-17230421.759703062</v>
      </c>
      <c r="Y23" s="63"/>
      <c r="Z23" s="64">
        <v>0</v>
      </c>
      <c r="AA23" s="63"/>
      <c r="AB23" s="64">
        <v>0</v>
      </c>
      <c r="AC23" s="63"/>
      <c r="AD23" s="64">
        <f>SUM(R23:AB23)</f>
        <v>-17230421.759703062</v>
      </c>
      <c r="AG23" s="7" t="s">
        <v>128</v>
      </c>
      <c r="AH23" s="64">
        <v>0</v>
      </c>
      <c r="AI23" s="72"/>
      <c r="AJ23" s="64">
        <v>0</v>
      </c>
      <c r="AK23" s="63"/>
      <c r="AL23" s="64">
        <v>0</v>
      </c>
      <c r="AM23" s="63"/>
      <c r="AN23" s="64">
        <f>AN18-AN19</f>
        <v>-9157709.0047030654</v>
      </c>
      <c r="AO23" s="63"/>
      <c r="AP23" s="64">
        <v>0</v>
      </c>
      <c r="AQ23" s="63"/>
      <c r="AR23" s="64">
        <v>0</v>
      </c>
      <c r="AS23" s="63"/>
      <c r="AT23" s="64">
        <f>SUM(AH23:AR23)</f>
        <v>-9157709.0047030654</v>
      </c>
      <c r="AW23" s="7" t="s">
        <v>128</v>
      </c>
      <c r="AX23" s="64">
        <v>0</v>
      </c>
      <c r="AY23" s="72"/>
      <c r="AZ23" s="64">
        <v>0</v>
      </c>
      <c r="BA23" s="63"/>
      <c r="BB23" s="64">
        <v>0</v>
      </c>
      <c r="BC23" s="63"/>
      <c r="BD23" s="64">
        <f>BD18-BD19</f>
        <v>-4081995.8671161118</v>
      </c>
      <c r="BE23" s="63"/>
      <c r="BF23" s="64">
        <v>0</v>
      </c>
      <c r="BG23" s="63"/>
      <c r="BH23" s="64">
        <v>0</v>
      </c>
      <c r="BI23" s="63"/>
      <c r="BJ23" s="64">
        <f t="shared" ref="BJ23" si="51">SUM(AX23:BH23)</f>
        <v>-4081995.8671161118</v>
      </c>
      <c r="BM23" s="7" t="s">
        <v>128</v>
      </c>
      <c r="BN23" s="64">
        <v>0</v>
      </c>
      <c r="BO23" s="72"/>
      <c r="BP23" s="64">
        <v>0</v>
      </c>
      <c r="BQ23" s="63"/>
      <c r="BR23" s="64">
        <v>0</v>
      </c>
      <c r="BS23" s="63"/>
      <c r="BT23" s="64">
        <f>BT18-BT19</f>
        <v>-19586928.369999997</v>
      </c>
      <c r="BU23" s="63"/>
      <c r="BV23" s="64">
        <v>0</v>
      </c>
      <c r="BW23" s="63"/>
      <c r="BX23" s="64">
        <v>0</v>
      </c>
      <c r="BY23" s="63"/>
      <c r="BZ23" s="64">
        <f>SUM(BN23:BX23)</f>
        <v>-19586928.369999997</v>
      </c>
      <c r="CC23" s="7" t="s">
        <v>128</v>
      </c>
      <c r="CD23" s="64">
        <v>0</v>
      </c>
      <c r="CE23" s="72"/>
      <c r="CF23" s="64">
        <v>0</v>
      </c>
      <c r="CG23" s="63"/>
      <c r="CH23" s="64">
        <v>0</v>
      </c>
      <c r="CI23" s="63"/>
      <c r="CJ23" s="64">
        <f>CJ18-CJ19</f>
        <v>-14734094.59249996</v>
      </c>
      <c r="CK23" s="63"/>
      <c r="CL23" s="64">
        <v>0</v>
      </c>
      <c r="CM23" s="63"/>
      <c r="CN23" s="64">
        <v>0</v>
      </c>
      <c r="CO23" s="63"/>
      <c r="CP23" s="64">
        <f>SUM(CD23:CN23)</f>
        <v>-14734094.59249996</v>
      </c>
      <c r="CS23" s="7" t="s">
        <v>128</v>
      </c>
      <c r="CT23" s="64">
        <v>0</v>
      </c>
      <c r="CU23" s="72"/>
      <c r="CV23" s="64">
        <v>0</v>
      </c>
      <c r="CW23" s="63"/>
      <c r="CX23" s="64">
        <v>0</v>
      </c>
      <c r="CY23" s="63"/>
      <c r="CZ23" s="64">
        <f>CZ18-CZ19</f>
        <v>-7671910.209999999</v>
      </c>
      <c r="DA23" s="63"/>
      <c r="DB23" s="64">
        <v>0</v>
      </c>
      <c r="DC23" s="63"/>
      <c r="DD23" s="64">
        <v>0</v>
      </c>
      <c r="DE23" s="63"/>
      <c r="DF23" s="64">
        <f>SUM(CT23:DD23)</f>
        <v>-7671910.209999999</v>
      </c>
      <c r="DI23" s="7" t="s">
        <v>128</v>
      </c>
      <c r="DJ23" s="64">
        <v>0</v>
      </c>
      <c r="DK23" s="72"/>
      <c r="DL23" s="64">
        <v>0</v>
      </c>
      <c r="DM23" s="63"/>
      <c r="DN23" s="64">
        <v>0</v>
      </c>
      <c r="DO23" s="63"/>
      <c r="DP23" s="64">
        <f>DP18-DP19</f>
        <v>-3358692.4050000007</v>
      </c>
      <c r="DQ23" s="63"/>
      <c r="DR23" s="64">
        <v>0</v>
      </c>
      <c r="DS23" s="63"/>
      <c r="DT23" s="64">
        <v>0</v>
      </c>
      <c r="DU23" s="63"/>
      <c r="DV23" s="64">
        <f>SUM(DJ23:DT23)</f>
        <v>-3358692.4050000007</v>
      </c>
      <c r="DY23" s="7" t="s">
        <v>100</v>
      </c>
      <c r="DZ23" s="64">
        <f>DZ21</f>
        <v>-151727335.78690538</v>
      </c>
      <c r="EA23" s="72"/>
      <c r="EB23" s="64">
        <f>EB21</f>
        <v>-25086108.629600674</v>
      </c>
      <c r="EC23" s="63"/>
      <c r="ED23" s="64">
        <v>0</v>
      </c>
      <c r="EE23" s="63"/>
      <c r="EF23" s="64">
        <v>-12953157.169872001</v>
      </c>
      <c r="EG23" s="63"/>
      <c r="EH23" s="64">
        <v>88259.54466812592</v>
      </c>
      <c r="EI23" s="63"/>
      <c r="EJ23" s="64">
        <f>SUM(DZ23:EH23)</f>
        <v>-189678342.0417099</v>
      </c>
      <c r="EM23" s="7" t="s">
        <v>100</v>
      </c>
      <c r="EN23" s="12">
        <f>EN21</f>
        <v>-96669857.290618867</v>
      </c>
      <c r="EO23" s="13"/>
      <c r="EP23" s="12">
        <f>EP21</f>
        <v>-18510684.754700389</v>
      </c>
      <c r="EQ23" s="8"/>
      <c r="ER23" s="12">
        <v>0</v>
      </c>
      <c r="ES23" s="8"/>
      <c r="ET23" s="12">
        <v>-6710662.5172918597</v>
      </c>
      <c r="EU23" s="8"/>
      <c r="EV23" s="12">
        <v>-528511.9781976667</v>
      </c>
      <c r="EW23" s="8"/>
      <c r="EX23" s="12">
        <f>SUM(EN23:EV23)</f>
        <v>-122419716.54080878</v>
      </c>
      <c r="FA23" s="7" t="s">
        <v>100</v>
      </c>
      <c r="FB23" s="12">
        <f>FB21</f>
        <v>-76205246.41220066</v>
      </c>
      <c r="FC23" s="13"/>
      <c r="FD23" s="12">
        <f>FD21</f>
        <v>-13557811.918829083</v>
      </c>
      <c r="FE23" s="8"/>
      <c r="FF23" s="12">
        <v>0</v>
      </c>
      <c r="FG23" s="8"/>
      <c r="FH23" s="56">
        <v>-4057709.7928055786</v>
      </c>
      <c r="FI23" s="8"/>
      <c r="FJ23" s="12">
        <f>FJ21</f>
        <v>-86960.052016000147</v>
      </c>
      <c r="FK23" s="8"/>
      <c r="FL23" s="12">
        <f>SUM(FB23:FJ23)</f>
        <v>-93907728.17585133</v>
      </c>
      <c r="FO23" s="7" t="s">
        <v>100</v>
      </c>
      <c r="FP23" s="12">
        <f>FP21</f>
        <v>-54381202.318833336</v>
      </c>
      <c r="FQ23" s="13"/>
      <c r="FR23" s="12">
        <f>FR21</f>
        <v>-6106632.1899999995</v>
      </c>
      <c r="FS23" s="8"/>
      <c r="FT23" s="12">
        <v>0</v>
      </c>
      <c r="FU23" s="8"/>
      <c r="FV23" s="12">
        <f>FV21</f>
        <v>-1993514.9100000008</v>
      </c>
      <c r="FW23" s="8"/>
      <c r="FX23" s="12">
        <f>FX21</f>
        <v>-35779.655085312661</v>
      </c>
      <c r="FY23" s="8"/>
      <c r="FZ23" s="12">
        <f>SUM(FP23:FX23)</f>
        <v>-62517129.073918648</v>
      </c>
      <c r="GC23" s="7" t="s">
        <v>100</v>
      </c>
      <c r="GD23" s="12">
        <f>GD21</f>
        <v>-77507141.089494199</v>
      </c>
      <c r="GE23" s="13"/>
      <c r="GF23" s="12">
        <f>GF21</f>
        <v>-21398609.871719509</v>
      </c>
      <c r="GG23" s="8"/>
      <c r="GH23" s="12">
        <v>0</v>
      </c>
      <c r="GI23" s="8"/>
      <c r="GJ23" s="12">
        <v>-6046011.235265919</v>
      </c>
      <c r="GK23" s="8"/>
      <c r="GL23" s="12">
        <f>GL21</f>
        <v>1280898.6423695248</v>
      </c>
      <c r="GM23" s="8"/>
      <c r="GN23" s="12">
        <f>SUM(GD23:GL23)</f>
        <v>-103670863.55411011</v>
      </c>
      <c r="GQ23" s="7" t="s">
        <v>100</v>
      </c>
      <c r="GR23" s="12">
        <f>GR21</f>
        <v>-51619637.182577476</v>
      </c>
      <c r="GS23" s="13"/>
      <c r="GT23" s="12">
        <f>GT21</f>
        <v>-16175325.417749999</v>
      </c>
      <c r="GU23" s="8"/>
      <c r="GV23" s="12">
        <v>0</v>
      </c>
      <c r="GW23" s="8"/>
      <c r="GX23" s="12">
        <v>-4111289.4939684956</v>
      </c>
      <c r="GY23" s="8"/>
      <c r="GZ23" s="12">
        <f>GZ21</f>
        <v>718500.07338525704</v>
      </c>
      <c r="HA23" s="8"/>
      <c r="HB23" s="12">
        <f>SUM(GR23:GZ23)</f>
        <v>-71187752.020910725</v>
      </c>
      <c r="HE23" s="7" t="s">
        <v>100</v>
      </c>
      <c r="HF23" s="12">
        <f>HF21</f>
        <v>-42417002.037927493</v>
      </c>
      <c r="HG23" s="13"/>
      <c r="HH23" s="12">
        <f>HH21</f>
        <v>-10608667.321699999</v>
      </c>
      <c r="HI23" s="8"/>
      <c r="HJ23" s="12">
        <v>0</v>
      </c>
      <c r="HK23" s="8"/>
      <c r="HL23" s="56">
        <v>-2310623.8714775005</v>
      </c>
      <c r="HM23" s="8"/>
      <c r="HN23" s="12">
        <f>HN21</f>
        <v>441096.99696749996</v>
      </c>
      <c r="HO23" s="8"/>
      <c r="HP23" s="12">
        <f>SUM(HF23:HN23)</f>
        <v>-54895196.23413749</v>
      </c>
      <c r="HS23" s="7" t="s">
        <v>100</v>
      </c>
      <c r="HT23" s="12">
        <f>HT21</f>
        <v>-23861404.499999993</v>
      </c>
      <c r="HU23" s="13"/>
      <c r="HV23" s="12">
        <f>HV21</f>
        <v>-5060807.08</v>
      </c>
      <c r="HW23" s="8"/>
      <c r="HX23" s="12">
        <v>0</v>
      </c>
      <c r="HY23" s="8"/>
      <c r="HZ23" s="12">
        <f>HZ21</f>
        <v>-1154127.4405</v>
      </c>
      <c r="IA23" s="8"/>
      <c r="IB23" s="12">
        <f>IB21</f>
        <v>220447.49065000028</v>
      </c>
      <c r="IC23" s="8"/>
      <c r="ID23" s="12">
        <f>SUM(HT23:IB23)</f>
        <v>-29855891.529849987</v>
      </c>
      <c r="IG23" s="7" t="s">
        <v>100</v>
      </c>
      <c r="IH23" s="12">
        <f>IH21</f>
        <v>-81201547.689999998</v>
      </c>
      <c r="II23" s="13"/>
      <c r="IJ23" s="12">
        <f>IJ21</f>
        <v>-18944508.099999998</v>
      </c>
      <c r="IK23" s="8"/>
      <c r="IL23" s="12">
        <v>0</v>
      </c>
      <c r="IM23" s="8"/>
      <c r="IN23" s="12">
        <f>IN21</f>
        <v>-4059425.8019999992</v>
      </c>
      <c r="IO23" s="8"/>
      <c r="IP23" s="12">
        <f>IP21</f>
        <v>815613.24000001501</v>
      </c>
      <c r="IQ23" s="8"/>
      <c r="IR23" s="12">
        <f>SUM(IH23:IP23)</f>
        <v>-103389868.35199998</v>
      </c>
      <c r="IU23" s="7" t="s">
        <v>100</v>
      </c>
      <c r="IV23" s="12">
        <f>IV21</f>
        <v>-43328114.659999996</v>
      </c>
      <c r="IW23" s="13"/>
      <c r="IX23" s="12">
        <f>IX21</f>
        <v>-13687049.950000003</v>
      </c>
      <c r="IY23" s="8"/>
      <c r="IZ23" s="12">
        <v>0</v>
      </c>
      <c r="JA23" s="8"/>
      <c r="JB23" s="12">
        <f>JB21</f>
        <v>-2632211.7614999991</v>
      </c>
      <c r="JC23" s="8"/>
      <c r="JD23" s="12">
        <f>JD21</f>
        <v>592915.72225003014</v>
      </c>
      <c r="JE23" s="8"/>
      <c r="JF23" s="12">
        <f>SUM(IV23:JD23)</f>
        <v>-59054460.649249971</v>
      </c>
      <c r="JI23" s="7" t="s">
        <v>100</v>
      </c>
      <c r="JJ23" s="12">
        <f>JJ21</f>
        <v>-36061637.159999996</v>
      </c>
      <c r="JK23" s="13"/>
      <c r="JL23" s="12">
        <f>JL21</f>
        <v>-9190123.4399999995</v>
      </c>
      <c r="JM23" s="8"/>
      <c r="JN23" s="12">
        <v>0</v>
      </c>
      <c r="JO23" s="8"/>
      <c r="JP23" s="12">
        <f>JP21</f>
        <v>-2250474.6809999989</v>
      </c>
      <c r="JQ23" s="8"/>
      <c r="JR23" s="12">
        <f>JR21</f>
        <v>367469.30150000006</v>
      </c>
      <c r="JS23" s="8"/>
      <c r="JT23" s="12">
        <f>SUM(JJ23:JR23)</f>
        <v>-47134765.979499996</v>
      </c>
      <c r="JW23" s="7" t="s">
        <v>100</v>
      </c>
      <c r="JX23" s="12">
        <f>JX21</f>
        <v>-21020477.93</v>
      </c>
      <c r="JY23" s="13"/>
      <c r="JZ23" s="12">
        <f>JZ21</f>
        <v>-4312377.6899999995</v>
      </c>
      <c r="KA23" s="8"/>
      <c r="KB23" s="12">
        <v>0</v>
      </c>
      <c r="KC23" s="8"/>
      <c r="KD23" s="12">
        <f>KD21</f>
        <v>-997033.33049999992</v>
      </c>
      <c r="KE23" s="8"/>
      <c r="KF23" s="12">
        <f>KF21</f>
        <v>168781.01074999996</v>
      </c>
      <c r="KG23" s="8"/>
      <c r="KH23" s="12">
        <f>SUM(JX23:KF23)</f>
        <v>-26161107.939749997</v>
      </c>
      <c r="KK23" s="7" t="s">
        <v>100</v>
      </c>
      <c r="KL23" s="12">
        <f>KL21</f>
        <v>-78931581.50999999</v>
      </c>
      <c r="KM23" s="13"/>
      <c r="KN23" s="12">
        <f>KN21</f>
        <v>-18419832.009999998</v>
      </c>
      <c r="KO23" s="8"/>
      <c r="KP23" s="12">
        <v>0</v>
      </c>
      <c r="KQ23" s="8"/>
      <c r="KR23" s="12">
        <f>KR21</f>
        <v>-5012724.1619999986</v>
      </c>
      <c r="KS23" s="8"/>
      <c r="KT23" s="12">
        <f>KT21</f>
        <v>473631.1454500003</v>
      </c>
      <c r="KU23" s="8"/>
      <c r="KV23" s="12">
        <f>SUM(KL23:KT23)</f>
        <v>-101890506.53654999</v>
      </c>
      <c r="KY23" s="7" t="s">
        <v>100</v>
      </c>
      <c r="KZ23" s="12">
        <f>KZ21</f>
        <v>-62701583.019999996</v>
      </c>
      <c r="LA23" s="13"/>
      <c r="LB23" s="12">
        <f>LB21</f>
        <v>-13815064.919999998</v>
      </c>
      <c r="LC23" s="8"/>
      <c r="LD23" s="12">
        <v>0</v>
      </c>
      <c r="LE23" s="8"/>
      <c r="LF23" s="12">
        <f>LF21</f>
        <v>-3412758.0315000005</v>
      </c>
      <c r="LG23" s="8"/>
      <c r="LH23" s="12">
        <f>LH21</f>
        <v>321653.2906000003</v>
      </c>
      <c r="LI23" s="8"/>
      <c r="LJ23" s="12">
        <f>SUM(KZ23:LH23)</f>
        <v>-79607752.680899993</v>
      </c>
      <c r="LM23" s="7" t="s">
        <v>100</v>
      </c>
      <c r="LN23" s="12">
        <f>LN21</f>
        <v>-49268342.050000004</v>
      </c>
      <c r="LO23" s="13"/>
      <c r="LP23" s="12">
        <f>LP21</f>
        <v>-10125691.960000001</v>
      </c>
      <c r="LQ23" s="8"/>
      <c r="LR23" s="12">
        <v>0</v>
      </c>
      <c r="LS23" s="8"/>
      <c r="LT23" s="12">
        <f>LT21</f>
        <v>-2334649.7009999994</v>
      </c>
      <c r="LU23" s="8"/>
      <c r="LV23" s="12">
        <f>LV21</f>
        <v>178928.15674999979</v>
      </c>
      <c r="LW23" s="8"/>
      <c r="LX23" s="12">
        <f>SUM(LN23:LV23)</f>
        <v>-61549755.554250002</v>
      </c>
      <c r="LZ23" s="7" t="s">
        <v>100</v>
      </c>
      <c r="MA23" s="12">
        <f>MA21</f>
        <v>-24966073.439999998</v>
      </c>
      <c r="MB23" s="13"/>
      <c r="MC23" s="12">
        <f>MC21</f>
        <v>-4641994.3592599807</v>
      </c>
      <c r="MD23" s="8"/>
      <c r="ME23" s="56">
        <v>0</v>
      </c>
      <c r="MF23" s="8"/>
      <c r="MG23" s="12">
        <f>MG21</f>
        <v>-1218598.4505</v>
      </c>
      <c r="MH23" s="8"/>
      <c r="MI23" s="12">
        <f>MI21</f>
        <v>-65512.020740012522</v>
      </c>
      <c r="MJ23" s="8"/>
      <c r="MK23" s="12">
        <f>SUM(MA23:MJ23)</f>
        <v>-30892178.270499993</v>
      </c>
      <c r="ML23" s="8"/>
      <c r="MM23" s="7" t="s">
        <v>100</v>
      </c>
      <c r="MN23" s="12">
        <f>MN21</f>
        <v>-91984679.370000005</v>
      </c>
      <c r="MO23" s="13"/>
      <c r="MP23" s="12">
        <f>MP21</f>
        <v>-13130230.690000001</v>
      </c>
      <c r="MQ23" s="8"/>
      <c r="MR23" s="12">
        <v>0</v>
      </c>
      <c r="MS23" s="8"/>
      <c r="MT23" s="12">
        <f>MT21</f>
        <v>-7406839.9619999994</v>
      </c>
      <c r="MU23" s="8"/>
      <c r="MV23" s="12">
        <f>MV21-MV14</f>
        <v>99980.750000000349</v>
      </c>
      <c r="MW23" s="8"/>
      <c r="MX23" s="12">
        <f>SUM(MN23:MV23)</f>
        <v>-112421769.272</v>
      </c>
      <c r="NA23" s="7" t="s">
        <v>100</v>
      </c>
      <c r="NB23" s="12">
        <v>16712127.220000025</v>
      </c>
      <c r="NC23" s="13"/>
      <c r="ND23" s="12">
        <v>5440125.849999994</v>
      </c>
      <c r="NE23" s="8"/>
      <c r="NF23" s="12">
        <v>0</v>
      </c>
      <c r="NG23" s="8"/>
      <c r="NH23" s="12">
        <v>-4716856.8614999978</v>
      </c>
      <c r="NI23" s="8"/>
      <c r="NJ23" s="12">
        <v>58867.500000000051</v>
      </c>
      <c r="NK23" s="8"/>
      <c r="NL23" s="12">
        <f>SUM(NB23:NJ23)</f>
        <v>17494263.70850002</v>
      </c>
      <c r="NO23" s="7" t="s">
        <v>100</v>
      </c>
      <c r="NP23" s="12">
        <v>14940700</v>
      </c>
      <c r="NQ23" s="13"/>
      <c r="NR23" s="12">
        <v>3609380.0100000012</v>
      </c>
      <c r="NS23" s="8"/>
      <c r="NT23" s="12">
        <v>0</v>
      </c>
      <c r="NU23" s="8"/>
      <c r="NV23" s="12">
        <v>-3271004.7156070806</v>
      </c>
      <c r="NW23" s="8"/>
      <c r="NX23" s="12">
        <v>10685.130000000281</v>
      </c>
      <c r="NY23" s="8"/>
      <c r="NZ23" s="12">
        <f>SUM(NP23:NX23)</f>
        <v>15289760.424392922</v>
      </c>
      <c r="OB23" s="7" t="s">
        <v>100</v>
      </c>
      <c r="OC23" s="12">
        <f>OC21</f>
        <v>-48657004.400000006</v>
      </c>
      <c r="OD23" s="13"/>
      <c r="OE23" s="12">
        <f>OE21</f>
        <v>-3193365.68</v>
      </c>
      <c r="OF23" s="8"/>
      <c r="OG23" s="56">
        <v>0</v>
      </c>
      <c r="OH23" s="8"/>
      <c r="OI23" s="12">
        <f>OI21</f>
        <v>-1195082.3951070802</v>
      </c>
      <c r="OJ23" s="8"/>
      <c r="OK23" s="12">
        <f>OK21-OK14</f>
        <v>-26340.000000000386</v>
      </c>
      <c r="OL23" s="8"/>
      <c r="OM23" s="12">
        <f>SUM(OC23:OK23)</f>
        <v>-53071792.475107089</v>
      </c>
      <c r="OO23" s="7" t="s">
        <v>100</v>
      </c>
      <c r="OP23" s="12">
        <v>7101968.3399999924</v>
      </c>
      <c r="OQ23" s="13"/>
      <c r="OR23" s="12">
        <v>10247152.23</v>
      </c>
      <c r="OS23" s="8"/>
      <c r="OT23" s="12">
        <v>0</v>
      </c>
      <c r="OU23" s="8"/>
      <c r="OV23" s="12">
        <v>-6243045.4702333342</v>
      </c>
      <c r="OW23" s="8"/>
      <c r="OX23" s="12">
        <v>-905187.5178299885</v>
      </c>
      <c r="OY23" s="8"/>
      <c r="OZ23" s="12">
        <f t="shared" ref="OZ23" si="52">SUM(OP23:OX23)</f>
        <v>10200887.58193667</v>
      </c>
      <c r="PA23" s="23"/>
      <c r="PB23" s="7"/>
      <c r="PC23" s="8"/>
      <c r="PD23" s="13"/>
      <c r="PE23" s="8"/>
      <c r="PF23" s="8"/>
      <c r="PG23" s="40"/>
      <c r="PH23" s="8"/>
      <c r="PI23" s="8"/>
      <c r="PJ23" s="8"/>
      <c r="PK23" s="8"/>
      <c r="PL23" s="8"/>
      <c r="PM23" s="8"/>
      <c r="PN23" s="23"/>
      <c r="PO23" s="7"/>
      <c r="PP23" s="8"/>
      <c r="PQ23" s="13"/>
      <c r="PR23" s="8"/>
      <c r="PS23" s="8"/>
      <c r="PT23" s="40"/>
      <c r="PU23" s="8"/>
      <c r="PV23" s="8"/>
      <c r="PW23" s="8"/>
      <c r="PX23" s="8"/>
      <c r="PY23" s="8"/>
      <c r="PZ23" s="8"/>
      <c r="QA23" s="23"/>
      <c r="QB23" s="7"/>
      <c r="QC23" s="8"/>
      <c r="QD23" s="13"/>
      <c r="QE23" s="8"/>
      <c r="QF23" s="8"/>
      <c r="QG23" s="40"/>
      <c r="QH23" s="8"/>
      <c r="QI23" s="8"/>
      <c r="QJ23" s="8"/>
      <c r="QK23" s="8"/>
      <c r="QL23" s="8"/>
      <c r="QM23" s="8"/>
      <c r="QN23" s="23"/>
      <c r="QO23" s="7"/>
      <c r="QP23" s="8"/>
      <c r="QQ23" s="13"/>
      <c r="QR23" s="8"/>
      <c r="QS23" s="8"/>
      <c r="QT23" s="8"/>
      <c r="QU23" s="8"/>
      <c r="QV23" s="8"/>
      <c r="QW23" s="8"/>
      <c r="QX23" s="8"/>
      <c r="QY23" s="8"/>
      <c r="QZ23" s="8"/>
      <c r="RA23" s="23"/>
      <c r="RB23" s="7"/>
      <c r="RC23" s="8"/>
      <c r="RD23" s="13"/>
      <c r="RE23" s="8"/>
      <c r="RF23" s="8"/>
      <c r="RG23" s="8"/>
      <c r="RH23" s="8"/>
      <c r="RI23" s="8"/>
      <c r="RJ23" s="8"/>
      <c r="RK23" s="8"/>
      <c r="RL23" s="8"/>
      <c r="RM23" s="8"/>
      <c r="RN23" s="23"/>
      <c r="RO23" s="7"/>
      <c r="RP23" s="8"/>
      <c r="RQ23" s="13"/>
      <c r="RR23" s="8"/>
      <c r="RS23" s="8"/>
      <c r="RT23" s="8"/>
      <c r="RU23" s="8"/>
      <c r="RV23" s="8"/>
      <c r="RW23" s="8"/>
      <c r="RX23" s="8"/>
      <c r="RY23" s="8"/>
      <c r="RZ23" s="57"/>
      <c r="SA23" s="23"/>
      <c r="SB23" s="7"/>
      <c r="SC23" s="8"/>
      <c r="SD23" s="13"/>
      <c r="SE23" s="8"/>
      <c r="SF23" s="8"/>
      <c r="SG23" s="8"/>
      <c r="SH23" s="8"/>
      <c r="SI23" s="8"/>
      <c r="SJ23" s="8"/>
      <c r="SK23" s="8"/>
      <c r="SL23" s="8"/>
      <c r="SM23" s="8"/>
      <c r="SN23" s="23"/>
      <c r="SO23" s="7"/>
      <c r="SP23" s="8"/>
      <c r="SQ23" s="13"/>
      <c r="SR23" s="8"/>
      <c r="SS23" s="8"/>
      <c r="ST23" s="8"/>
      <c r="SU23" s="8"/>
      <c r="SV23" s="8"/>
      <c r="SW23" s="8"/>
      <c r="SX23" s="8"/>
      <c r="SY23" s="8"/>
      <c r="SZ23" s="8"/>
      <c r="TA23" s="23"/>
      <c r="TB23" s="7"/>
      <c r="TC23" s="8"/>
      <c r="TD23" s="13"/>
      <c r="TE23" s="8"/>
      <c r="TF23" s="8"/>
      <c r="TG23" s="8"/>
      <c r="TH23" s="8"/>
      <c r="TI23" s="8"/>
      <c r="TJ23" s="8"/>
      <c r="TK23" s="8"/>
      <c r="TL23" s="8"/>
      <c r="TM23" s="8"/>
      <c r="TN23" s="23"/>
      <c r="TO23" s="7"/>
      <c r="TP23" s="8"/>
      <c r="TQ23" s="13"/>
      <c r="TR23" s="8"/>
      <c r="TS23" s="8"/>
      <c r="TT23" s="8"/>
      <c r="TU23" s="8"/>
      <c r="TV23" s="8"/>
      <c r="TW23" s="8"/>
      <c r="TX23" s="8"/>
      <c r="TY23" s="8"/>
      <c r="TZ23" s="8"/>
      <c r="UA23" s="23"/>
      <c r="UB23" s="7"/>
      <c r="UC23" s="8"/>
      <c r="UD23" s="13"/>
      <c r="UE23" s="8"/>
      <c r="UF23" s="8"/>
      <c r="UG23" s="8"/>
      <c r="UH23" s="8"/>
      <c r="UI23" s="8"/>
      <c r="UJ23" s="8"/>
      <c r="UK23" s="8"/>
      <c r="UL23" s="8"/>
      <c r="UM23" s="8"/>
      <c r="UN23" s="23"/>
      <c r="UO23" s="7"/>
      <c r="UP23" s="8"/>
      <c r="UQ23" s="13"/>
      <c r="UR23" s="8"/>
      <c r="US23" s="8"/>
      <c r="UT23" s="8"/>
      <c r="UU23" s="8"/>
      <c r="UV23" s="8"/>
      <c r="UW23" s="8"/>
      <c r="UX23" s="8"/>
      <c r="UY23" s="8"/>
      <c r="UZ23" s="8"/>
      <c r="VA23" s="23"/>
      <c r="VB23" s="23"/>
      <c r="VC23" s="8"/>
      <c r="VD23" s="13"/>
      <c r="VE23" s="8"/>
      <c r="VF23" s="8"/>
      <c r="VG23" s="8"/>
      <c r="VH23" s="8"/>
      <c r="VI23" s="8"/>
      <c r="VJ23" s="8"/>
      <c r="VK23" s="8"/>
      <c r="VM23" s="8"/>
      <c r="VN23" s="23"/>
      <c r="VO23" s="23"/>
      <c r="VP23" s="8"/>
      <c r="VQ23" s="13"/>
      <c r="VR23" s="8"/>
      <c r="VS23" s="8"/>
      <c r="VT23" s="8"/>
      <c r="VU23" s="8"/>
      <c r="VV23" s="8"/>
      <c r="VW23" s="8"/>
      <c r="VX23" s="8"/>
      <c r="VZ23" s="8"/>
      <c r="WA23" s="23"/>
      <c r="WB23" s="7"/>
      <c r="WC23" s="8"/>
      <c r="WD23" s="13"/>
      <c r="WE23" s="8"/>
      <c r="WF23" s="8"/>
      <c r="WG23" s="8"/>
      <c r="WH23" s="8"/>
      <c r="WI23" s="8"/>
      <c r="WJ23" s="8"/>
      <c r="WK23" s="8"/>
      <c r="WL23" s="8"/>
      <c r="WM23" s="8"/>
      <c r="WN23" s="23"/>
      <c r="WO23" s="7"/>
      <c r="WP23" s="8"/>
      <c r="WQ23" s="13"/>
      <c r="WR23" s="8"/>
      <c r="WS23" s="8"/>
      <c r="WT23" s="8"/>
      <c r="WU23" s="8"/>
      <c r="WV23" s="8"/>
      <c r="WW23" s="8"/>
      <c r="WX23" s="8"/>
      <c r="WY23" s="8"/>
      <c r="WZ23" s="8"/>
      <c r="XA23" s="23"/>
      <c r="XB23" s="23"/>
      <c r="XC23" s="8"/>
      <c r="XD23" s="13"/>
      <c r="XE23" s="8"/>
      <c r="XF23" s="8"/>
      <c r="XG23" s="8"/>
      <c r="XH23" s="8"/>
      <c r="XI23" s="8"/>
      <c r="XJ23" s="8"/>
      <c r="XK23" s="8"/>
      <c r="XM23" s="8"/>
      <c r="XN23" s="8"/>
      <c r="XO23" s="23"/>
      <c r="XP23" s="8"/>
      <c r="XQ23" s="13"/>
      <c r="XR23" s="8"/>
      <c r="XS23" s="8"/>
      <c r="XT23" s="8"/>
      <c r="XU23" s="8"/>
      <c r="XV23" s="8"/>
      <c r="XW23" s="8"/>
      <c r="XX23" s="8"/>
      <c r="XZ23" s="8"/>
      <c r="YA23" s="8"/>
      <c r="YB23" s="23"/>
      <c r="YC23" s="8"/>
      <c r="YD23" s="13"/>
      <c r="YE23" s="8"/>
      <c r="YF23" s="8"/>
      <c r="YG23" s="8"/>
      <c r="YH23" s="8"/>
      <c r="YI23" s="8"/>
      <c r="YJ23" s="8"/>
      <c r="YK23" s="8"/>
      <c r="YM23" s="8"/>
      <c r="YN23" s="8"/>
      <c r="YO23" s="7"/>
      <c r="YP23" s="8"/>
      <c r="YQ23" s="13"/>
      <c r="YR23" s="8"/>
      <c r="YS23" s="8"/>
      <c r="YT23" s="8"/>
      <c r="YU23" s="8"/>
      <c r="YV23" s="8"/>
      <c r="YW23" s="8"/>
      <c r="YX23" s="8"/>
      <c r="YZ23" s="8"/>
    </row>
    <row r="24" spans="1:676">
      <c r="B24" s="69"/>
      <c r="R24" s="69"/>
      <c r="AH24" s="69"/>
      <c r="AX24" s="69"/>
      <c r="BN24" s="69"/>
      <c r="CD24" s="69"/>
      <c r="CT24" s="69"/>
      <c r="DJ24" s="69"/>
      <c r="DZ24" s="69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</row>
    <row r="25" spans="1:676" s="30" customFormat="1">
      <c r="B25" s="31"/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R25" s="31"/>
      <c r="S25" s="31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H25" s="31"/>
      <c r="AI25" s="31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X25" s="31"/>
      <c r="AY25" s="31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N25" s="31"/>
      <c r="BO25" s="31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D25" s="31"/>
      <c r="CE25" s="31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T25" s="31"/>
      <c r="CU25" s="31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J25" s="31"/>
      <c r="DK25" s="31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Z25" s="31"/>
      <c r="EA25" s="31"/>
      <c r="EB25" s="32"/>
      <c r="EC25" s="32"/>
      <c r="ED25" s="32"/>
      <c r="EE25" s="32"/>
      <c r="EF25" s="32"/>
      <c r="EG25" s="32"/>
      <c r="EH25" s="32"/>
      <c r="EI25" s="32"/>
      <c r="EJ25" s="32"/>
      <c r="EN25" s="31"/>
      <c r="EO25" s="31"/>
      <c r="EP25" s="32"/>
      <c r="EQ25" s="32"/>
      <c r="ER25" s="32"/>
      <c r="ES25" s="32"/>
      <c r="ET25" s="32"/>
      <c r="EU25" s="32"/>
      <c r="EV25" s="32"/>
      <c r="EW25" s="32"/>
      <c r="EX25" s="32"/>
      <c r="FB25" s="31"/>
      <c r="FC25" s="31"/>
      <c r="FD25" s="32"/>
      <c r="FE25" s="32"/>
      <c r="FF25" s="32"/>
      <c r="FG25" s="32"/>
      <c r="FH25" s="32"/>
      <c r="FI25" s="32"/>
      <c r="FJ25" s="32"/>
      <c r="FK25" s="32"/>
      <c r="FL25" s="32"/>
      <c r="FP25" s="31"/>
      <c r="FQ25" s="31"/>
      <c r="FR25" s="32"/>
      <c r="FS25" s="32"/>
      <c r="FT25" s="32"/>
      <c r="FU25" s="32"/>
      <c r="FV25" s="32"/>
      <c r="FW25" s="32"/>
      <c r="FX25" s="32"/>
      <c r="FY25" s="32"/>
      <c r="FZ25" s="32"/>
      <c r="GD25" s="31"/>
      <c r="GE25" s="31"/>
      <c r="GF25" s="32"/>
      <c r="GG25" s="32"/>
      <c r="GH25" s="32"/>
      <c r="GI25" s="32"/>
      <c r="GJ25" s="32"/>
      <c r="GK25" s="32"/>
      <c r="GL25" s="32"/>
      <c r="GM25" s="32"/>
      <c r="GN25" s="32"/>
      <c r="GR25" s="31"/>
      <c r="GS25" s="31"/>
      <c r="GT25" s="32"/>
      <c r="GU25" s="32"/>
      <c r="GV25" s="32"/>
      <c r="GW25" s="32"/>
      <c r="GX25" s="32"/>
      <c r="GY25" s="32"/>
      <c r="GZ25" s="32"/>
      <c r="HA25" s="32"/>
      <c r="HB25" s="32"/>
      <c r="HF25" s="31"/>
      <c r="HG25" s="31"/>
      <c r="HH25" s="32"/>
      <c r="HI25" s="32"/>
      <c r="HJ25" s="32"/>
      <c r="HK25" s="32"/>
      <c r="HL25" s="32"/>
      <c r="HM25" s="32"/>
      <c r="HN25" s="32"/>
      <c r="HO25" s="32"/>
      <c r="HP25" s="32"/>
      <c r="HT25" s="31"/>
      <c r="HU25" s="31"/>
      <c r="HV25" s="32"/>
      <c r="HW25" s="32"/>
      <c r="HX25" s="32"/>
      <c r="HY25" s="32"/>
      <c r="HZ25" s="32"/>
      <c r="IA25" s="32"/>
      <c r="IB25" s="32"/>
      <c r="IC25" s="32"/>
      <c r="ID25" s="32"/>
      <c r="IH25" s="31"/>
      <c r="II25" s="31"/>
      <c r="IJ25" s="32"/>
      <c r="IK25" s="32"/>
      <c r="IL25" s="32"/>
      <c r="IM25" s="32"/>
      <c r="IN25" s="32"/>
      <c r="IO25" s="32"/>
      <c r="IP25" s="32"/>
      <c r="IQ25" s="32"/>
      <c r="IR25" s="32"/>
      <c r="IV25" s="31"/>
      <c r="IW25" s="31"/>
      <c r="IX25" s="32"/>
      <c r="IY25" s="32"/>
      <c r="IZ25" s="32"/>
      <c r="JA25" s="32"/>
      <c r="JB25" s="32"/>
      <c r="JC25" s="32"/>
      <c r="JD25" s="32"/>
      <c r="JE25" s="32"/>
      <c r="JF25" s="32"/>
      <c r="JJ25" s="31"/>
      <c r="JK25" s="31"/>
      <c r="JL25" s="32"/>
      <c r="JM25" s="32"/>
      <c r="JN25" s="32"/>
      <c r="JO25" s="32"/>
      <c r="JP25" s="32"/>
      <c r="JQ25" s="32"/>
      <c r="JR25" s="32"/>
      <c r="JS25" s="32"/>
      <c r="JT25" s="32"/>
      <c r="JX25" s="31"/>
      <c r="JY25" s="31"/>
      <c r="JZ25" s="32"/>
      <c r="KA25" s="32"/>
      <c r="KB25" s="32"/>
      <c r="KC25" s="32"/>
      <c r="KD25" s="32"/>
      <c r="KE25" s="32"/>
      <c r="KF25" s="32"/>
      <c r="KG25" s="32"/>
      <c r="KH25" s="32"/>
      <c r="KL25" s="31"/>
      <c r="KM25" s="31"/>
      <c r="KN25" s="32"/>
      <c r="KO25" s="32"/>
      <c r="KP25" s="32"/>
      <c r="KQ25" s="32"/>
      <c r="KR25" s="32"/>
      <c r="KS25" s="32"/>
      <c r="KT25" s="32"/>
      <c r="KU25" s="32"/>
      <c r="KV25" s="32"/>
      <c r="KZ25" s="31"/>
      <c r="LA25" s="31"/>
      <c r="LB25" s="32"/>
      <c r="LC25" s="32"/>
      <c r="LD25" s="32"/>
      <c r="LE25" s="32"/>
      <c r="LF25" s="32"/>
      <c r="LG25" s="32"/>
      <c r="LH25" s="32"/>
      <c r="LI25" s="32"/>
      <c r="LJ25" s="32"/>
      <c r="LN25" s="31"/>
      <c r="LO25" s="31"/>
      <c r="LP25" s="32"/>
      <c r="LQ25" s="32"/>
      <c r="LR25" s="32"/>
      <c r="LS25" s="32"/>
      <c r="LT25" s="32"/>
      <c r="LU25" s="32"/>
      <c r="LV25" s="32"/>
      <c r="LW25" s="32"/>
      <c r="LX25" s="32"/>
      <c r="MA25" s="31"/>
      <c r="MB25" s="31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N25" s="31"/>
      <c r="MO25" s="31"/>
      <c r="MP25" s="32"/>
      <c r="MQ25" s="32"/>
      <c r="MR25" s="32"/>
      <c r="MS25" s="32"/>
      <c r="MT25" s="32"/>
      <c r="MU25" s="32"/>
      <c r="MV25" s="32"/>
      <c r="MW25" s="32"/>
      <c r="MX25" s="32"/>
      <c r="NB25" s="31"/>
      <c r="NC25" s="31"/>
      <c r="ND25" s="32"/>
      <c r="NE25" s="32"/>
      <c r="NF25" s="32"/>
      <c r="NG25" s="32"/>
      <c r="NH25" s="32"/>
      <c r="NI25" s="32"/>
      <c r="NJ25" s="32"/>
      <c r="NK25" s="32"/>
      <c r="NL25" s="32"/>
      <c r="NP25" s="31"/>
      <c r="NQ25" s="31"/>
      <c r="NR25" s="32"/>
      <c r="NS25" s="32"/>
      <c r="NT25" s="32"/>
      <c r="NU25" s="32"/>
      <c r="NV25" s="32"/>
      <c r="NW25" s="32"/>
      <c r="NX25" s="32"/>
      <c r="NY25" s="32"/>
      <c r="NZ25" s="32"/>
      <c r="OC25" s="31"/>
      <c r="OD25" s="31"/>
      <c r="OE25" s="32"/>
      <c r="OF25" s="32"/>
      <c r="OG25" s="32"/>
      <c r="OH25" s="32"/>
      <c r="OI25" s="32"/>
      <c r="OJ25" s="32"/>
      <c r="OK25" s="32"/>
      <c r="OL25" s="32"/>
      <c r="OM25" s="32"/>
      <c r="OP25" s="31"/>
      <c r="OQ25" s="31"/>
      <c r="OR25" s="32"/>
      <c r="OS25" s="32"/>
      <c r="OT25" s="32"/>
      <c r="OU25" s="32"/>
      <c r="OV25" s="32"/>
      <c r="OW25" s="32"/>
      <c r="OX25" s="32"/>
      <c r="OY25" s="32"/>
      <c r="OZ25" s="32"/>
      <c r="PC25" s="31"/>
      <c r="PD25" s="31"/>
      <c r="PE25" s="32"/>
      <c r="PF25" s="32"/>
      <c r="PG25" s="32"/>
      <c r="PH25" s="32"/>
      <c r="PI25" s="32"/>
      <c r="PJ25" s="32"/>
      <c r="PK25" s="32"/>
      <c r="PL25" s="32"/>
      <c r="PM25" s="32"/>
      <c r="PP25" s="31"/>
      <c r="PQ25" s="31"/>
      <c r="PR25" s="32"/>
      <c r="PS25" s="32"/>
      <c r="PT25" s="32"/>
      <c r="PU25" s="32"/>
      <c r="PV25" s="32"/>
      <c r="PW25" s="32"/>
      <c r="PX25" s="32"/>
      <c r="PY25" s="32"/>
      <c r="PZ25" s="32"/>
      <c r="QC25" s="31"/>
      <c r="QD25" s="31"/>
      <c r="QE25" s="32"/>
      <c r="QF25" s="32"/>
      <c r="QG25" s="32"/>
      <c r="QH25" s="32"/>
      <c r="QI25" s="32"/>
      <c r="QJ25" s="32"/>
      <c r="QK25" s="32"/>
      <c r="QL25" s="32"/>
      <c r="QM25" s="32"/>
      <c r="QP25" s="31"/>
      <c r="QQ25" s="31"/>
      <c r="QR25" s="32"/>
      <c r="QS25" s="32"/>
      <c r="QT25" s="32"/>
      <c r="QU25" s="32"/>
      <c r="QV25" s="32"/>
      <c r="QW25" s="32"/>
      <c r="QX25" s="32"/>
      <c r="QY25" s="32"/>
      <c r="QZ25" s="32"/>
      <c r="RC25" s="31"/>
      <c r="RD25" s="31"/>
      <c r="RE25" s="32"/>
      <c r="RF25" s="32"/>
      <c r="RG25" s="32"/>
      <c r="RH25" s="32"/>
      <c r="RI25" s="32"/>
      <c r="RJ25" s="32"/>
      <c r="RK25" s="32"/>
      <c r="RL25" s="32"/>
      <c r="RM25" s="32"/>
      <c r="RP25" s="31"/>
      <c r="RQ25" s="31"/>
      <c r="RR25" s="32"/>
      <c r="RS25" s="32"/>
      <c r="RT25" s="32"/>
      <c r="RU25" s="32"/>
      <c r="RV25" s="32"/>
      <c r="RW25" s="32"/>
      <c r="RX25" s="32"/>
      <c r="RY25" s="32"/>
      <c r="RZ25" s="32"/>
      <c r="SC25" s="31"/>
      <c r="SD25" s="31"/>
      <c r="SE25" s="32"/>
      <c r="SF25" s="32"/>
      <c r="SG25" s="32"/>
      <c r="SH25" s="32"/>
      <c r="SI25" s="32"/>
      <c r="SJ25" s="32"/>
      <c r="SK25" s="32"/>
      <c r="SL25" s="32"/>
      <c r="SM25" s="32"/>
      <c r="SP25" s="31"/>
      <c r="SQ25" s="31"/>
      <c r="SR25" s="32"/>
      <c r="SS25" s="32"/>
      <c r="ST25" s="32"/>
      <c r="SU25" s="32"/>
      <c r="SV25" s="32"/>
      <c r="SW25" s="32"/>
      <c r="SX25" s="32"/>
      <c r="SY25" s="32"/>
      <c r="SZ25" s="32"/>
      <c r="TC25" s="31"/>
      <c r="TD25" s="31"/>
      <c r="TE25" s="32"/>
      <c r="TF25" s="32"/>
      <c r="TG25" s="32"/>
      <c r="TH25" s="32"/>
      <c r="TI25" s="32"/>
      <c r="TJ25" s="32"/>
      <c r="TK25" s="32"/>
      <c r="TL25" s="32"/>
      <c r="TM25" s="32"/>
      <c r="TP25" s="31"/>
      <c r="TQ25" s="31"/>
      <c r="TR25" s="32"/>
      <c r="TS25" s="32"/>
      <c r="TT25" s="32"/>
      <c r="TU25" s="32"/>
      <c r="TV25" s="32"/>
      <c r="TW25" s="32"/>
      <c r="TX25" s="32"/>
      <c r="TY25" s="32"/>
      <c r="TZ25" s="32"/>
      <c r="UC25" s="31"/>
      <c r="UD25" s="31"/>
      <c r="UE25" s="32"/>
      <c r="UF25" s="32"/>
      <c r="UG25" s="32"/>
      <c r="UH25" s="32"/>
      <c r="UI25" s="32"/>
      <c r="UJ25" s="32"/>
      <c r="UK25" s="32"/>
      <c r="UL25" s="32"/>
      <c r="UM25" s="32"/>
      <c r="UP25" s="31"/>
      <c r="UQ25" s="31"/>
      <c r="UR25" s="32"/>
      <c r="US25" s="32"/>
      <c r="UT25" s="32"/>
      <c r="UU25" s="32"/>
      <c r="UV25" s="32"/>
      <c r="UW25" s="32"/>
      <c r="UX25" s="32"/>
      <c r="UY25" s="32"/>
      <c r="UZ25" s="32"/>
      <c r="VC25" s="31"/>
      <c r="VD25" s="31"/>
      <c r="VE25" s="32"/>
      <c r="VF25" s="32"/>
      <c r="VG25" s="32"/>
      <c r="VH25" s="32"/>
      <c r="VI25" s="32"/>
      <c r="VJ25" s="32"/>
      <c r="VK25" s="32"/>
      <c r="VL25" s="32"/>
      <c r="VM25" s="32"/>
      <c r="VP25" s="31"/>
      <c r="VQ25" s="31"/>
      <c r="VR25" s="32"/>
      <c r="VS25" s="32"/>
      <c r="VT25" s="32"/>
      <c r="VU25" s="32"/>
      <c r="VV25" s="32"/>
      <c r="VW25" s="32"/>
      <c r="VX25" s="32"/>
      <c r="VY25" s="32"/>
      <c r="VZ25" s="32"/>
      <c r="WC25" s="31"/>
      <c r="WD25" s="31"/>
      <c r="WE25" s="32"/>
      <c r="WF25" s="32"/>
      <c r="WG25" s="32"/>
      <c r="WH25" s="32"/>
      <c r="WI25" s="32"/>
      <c r="WJ25" s="32"/>
      <c r="WK25" s="32"/>
      <c r="WL25" s="32"/>
      <c r="WM25" s="32"/>
      <c r="WP25" s="31"/>
      <c r="WQ25" s="31"/>
      <c r="WR25" s="32"/>
      <c r="WS25" s="32"/>
      <c r="WT25" s="32"/>
      <c r="WU25" s="32"/>
      <c r="WV25" s="32"/>
      <c r="WW25" s="32"/>
      <c r="WX25" s="32"/>
      <c r="WY25" s="32"/>
      <c r="WZ25" s="32"/>
      <c r="XC25" s="31"/>
      <c r="XD25" s="31"/>
      <c r="XE25" s="32"/>
      <c r="XF25" s="32"/>
      <c r="XG25" s="32"/>
      <c r="XH25" s="32"/>
      <c r="XI25" s="32"/>
      <c r="XJ25" s="32"/>
      <c r="XK25" s="32"/>
      <c r="XL25" s="32"/>
      <c r="XM25" s="32"/>
      <c r="XP25" s="31"/>
      <c r="XQ25" s="31"/>
      <c r="XR25" s="32"/>
      <c r="XS25" s="32"/>
      <c r="XT25" s="32"/>
      <c r="XU25" s="32"/>
      <c r="XV25" s="32"/>
      <c r="XW25" s="32"/>
      <c r="XX25" s="32"/>
      <c r="XY25" s="32"/>
      <c r="XZ25" s="32"/>
      <c r="YC25" s="31"/>
      <c r="YD25" s="31"/>
      <c r="YE25" s="32"/>
      <c r="YF25" s="32"/>
      <c r="YG25" s="32"/>
      <c r="YH25" s="32"/>
      <c r="YI25" s="32"/>
      <c r="YJ25" s="32"/>
      <c r="YK25" s="32"/>
      <c r="YL25" s="32"/>
      <c r="YM25" s="32"/>
      <c r="YP25" s="31"/>
      <c r="YQ25" s="31"/>
      <c r="YR25" s="32"/>
      <c r="YS25" s="32"/>
      <c r="YT25" s="32"/>
      <c r="YU25" s="32"/>
      <c r="YV25" s="32"/>
      <c r="YW25" s="32"/>
      <c r="YX25" s="32"/>
      <c r="YY25" s="32"/>
      <c r="YZ25" s="32"/>
    </row>
    <row r="26" spans="1:676">
      <c r="PA26" s="24"/>
      <c r="PN26" s="24"/>
      <c r="QA26" s="24"/>
      <c r="QN26" s="24"/>
      <c r="RA26" s="24"/>
      <c r="RN26" s="24"/>
      <c r="SA26" s="24"/>
      <c r="SN26" s="24"/>
      <c r="TA26" s="24"/>
      <c r="TN26" s="24"/>
      <c r="UA26" s="24"/>
      <c r="UN26" s="24"/>
      <c r="VA26" s="24"/>
      <c r="VB26" s="24"/>
      <c r="VN26" s="24"/>
      <c r="VO26" s="24"/>
      <c r="WA26" s="24"/>
      <c r="WN26" s="24"/>
      <c r="XA26" s="24"/>
      <c r="XB26" s="24"/>
      <c r="XN26" s="2"/>
      <c r="XO26" s="24"/>
      <c r="YA26" s="2"/>
      <c r="YN26" s="24"/>
    </row>
    <row r="27" spans="1:676" ht="13">
      <c r="A27" s="34"/>
      <c r="B27" s="174" t="str">
        <f>"Segmenty operacyjne za okres 3m-cy zakończonych "&amp;RIGHT(B2,10)</f>
        <v>Segmenty operacyjne za okres 3m-cy zakończonych 30.09.2025</v>
      </c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Q27" s="34"/>
      <c r="R27" s="174" t="str">
        <f>"Segmenty operacyjne za okres 3m-cy zakończonych "&amp;RIGHT(R2,10)</f>
        <v>Segmenty operacyjne za okres 3m-cy zakończonych 30.06.2025</v>
      </c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G27" s="34"/>
      <c r="AH27" s="174" t="str">
        <f>"Segmenty operacyjne za okres 3m-cy zakończonych "&amp;RIGHT(AH2,10)</f>
        <v>Segmenty operacyjne za okres 3m-cy zakończonych 31.03.2025</v>
      </c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W27" s="34"/>
      <c r="AX27" s="174" t="str">
        <f>"Segmenty operacyjne za okres 3m-cy zakończonych "&amp;RIGHT(AX2,32)</f>
        <v>Segmenty operacyjne za okres 3m-cy zakończonych 31.12.2024 - dane przekształcone</v>
      </c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M27" s="34"/>
      <c r="BN27" s="174" t="str">
        <f>"Segmenty operacyjne za okres 3m-cy zakończonych "&amp;RIGHT(BN2,32)</f>
        <v>Segmenty operacyjne za okres 3m-cy zakończonych 30.09.2024 - dane przekształcone</v>
      </c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C27" s="34"/>
      <c r="CD27" s="174" t="str">
        <f>"Segmenty operacyjne za okres 3m-cy zakończonych "&amp;RIGHT(CD2,32)</f>
        <v>Segmenty operacyjne za okres 3m-cy zakończonych 30.06.2024 - dane przekształcone</v>
      </c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S27" s="34"/>
      <c r="CT27" s="174" t="str">
        <f>"Segmenty operacyjne za okres 3m-cy zakończonych "&amp;RIGHT(CT2,32)</f>
        <v>Segmenty operacyjne za okres 3m-cy zakończonych 31.03.2024 - dane przekształcone</v>
      </c>
      <c r="CU27" s="174"/>
      <c r="CV27" s="174"/>
      <c r="CW27" s="174"/>
      <c r="CX27" s="174"/>
      <c r="CY27" s="174"/>
      <c r="CZ27" s="174"/>
      <c r="DA27" s="174"/>
      <c r="DB27" s="174"/>
      <c r="DC27" s="174"/>
      <c r="DD27" s="174"/>
      <c r="DE27" s="174"/>
      <c r="DF27" s="174"/>
      <c r="DI27" s="34"/>
      <c r="DJ27" s="174" t="str">
        <f>"Segmenty operacyjne za okres 3m-cy zakończonych "&amp;RIGHT(DJ2,32)</f>
        <v>Segmenty operacyjne za okres 3m-cy zakończonych 31.12.2023 - dane przekształcone</v>
      </c>
      <c r="DK27" s="174"/>
      <c r="DL27" s="174"/>
      <c r="DM27" s="174"/>
      <c r="DN27" s="174"/>
      <c r="DO27" s="174"/>
      <c r="DP27" s="174"/>
      <c r="DQ27" s="174"/>
      <c r="DR27" s="174"/>
      <c r="DS27" s="174"/>
      <c r="DT27" s="174"/>
      <c r="DU27" s="174"/>
      <c r="DV27" s="174"/>
      <c r="DY27" s="34"/>
      <c r="DZ27" s="174" t="str">
        <f>"Segmenty operacyjne za okres 3m-cy zakończonych "&amp;RIGHT(DZ2,10)</f>
        <v>Segmenty operacyjne za okres 3m-cy zakończonych 30.09.2023</v>
      </c>
      <c r="EA27" s="174"/>
      <c r="EB27" s="174"/>
      <c r="EC27" s="174"/>
      <c r="ED27" s="174"/>
      <c r="EE27" s="174"/>
      <c r="EF27" s="174"/>
      <c r="EG27" s="174"/>
      <c r="EH27" s="174"/>
      <c r="EI27" s="174"/>
      <c r="EJ27" s="174"/>
      <c r="EM27" s="34"/>
      <c r="EN27" s="174" t="str">
        <f>"Segmenty operacyjne za okres 3m-cy zakończonych "&amp;RIGHT(EN2,10)</f>
        <v>Segmenty operacyjne za okres 3m-cy zakończonych 30.06.2023</v>
      </c>
      <c r="EO27" s="174"/>
      <c r="EP27" s="174"/>
      <c r="EQ27" s="174"/>
      <c r="ER27" s="174"/>
      <c r="ES27" s="174"/>
      <c r="ET27" s="174"/>
      <c r="EU27" s="174"/>
      <c r="EV27" s="174"/>
      <c r="EW27" s="174"/>
      <c r="EX27" s="174"/>
      <c r="FA27" s="34"/>
      <c r="FB27" s="174" t="str">
        <f>"Segmenty operacyjne za okres 3m-cy zakończonych "&amp;RIGHT(FB2,10)</f>
        <v>Segmenty operacyjne za okres 3m-cy zakończonych 31.03.2023</v>
      </c>
      <c r="FC27" s="174"/>
      <c r="FD27" s="174"/>
      <c r="FE27" s="174"/>
      <c r="FF27" s="174"/>
      <c r="FG27" s="174"/>
      <c r="FH27" s="174"/>
      <c r="FI27" s="174"/>
      <c r="FJ27" s="174"/>
      <c r="FK27" s="174"/>
      <c r="FL27" s="174"/>
      <c r="FO27" s="34"/>
      <c r="FP27" s="174" t="str">
        <f>"Segmenty operacyjne za okres 3m-cy zakończonych "&amp;RIGHT(FP2,10)</f>
        <v>Segmenty operacyjne za okres 3m-cy zakończonych 31.12.2022</v>
      </c>
      <c r="FQ27" s="174"/>
      <c r="FR27" s="174"/>
      <c r="FS27" s="174"/>
      <c r="FT27" s="174"/>
      <c r="FU27" s="174"/>
      <c r="FV27" s="174"/>
      <c r="FW27" s="174"/>
      <c r="FX27" s="174"/>
      <c r="FY27" s="174"/>
      <c r="FZ27" s="174"/>
      <c r="GC27" s="34"/>
      <c r="GD27" s="174" t="str">
        <f>"Segmenty operacyjne za okres 3m-cy zakończonych "&amp;RIGHT(GD2,10)</f>
        <v>Segmenty operacyjne za okres 3m-cy zakończonych 30.09.2022</v>
      </c>
      <c r="GE27" s="174"/>
      <c r="GF27" s="174"/>
      <c r="GG27" s="174"/>
      <c r="GH27" s="174"/>
      <c r="GI27" s="174"/>
      <c r="GJ27" s="174"/>
      <c r="GK27" s="174"/>
      <c r="GL27" s="174"/>
      <c r="GM27" s="174"/>
      <c r="GN27" s="174"/>
      <c r="GQ27" s="34"/>
      <c r="GR27" s="174" t="str">
        <f>"Segmenty operacyjne za okres 3m-cy zakończonych "&amp;RIGHT(GR2,10)</f>
        <v>Segmenty operacyjne za okres 3m-cy zakończonych 30.06.2022</v>
      </c>
      <c r="GS27" s="174"/>
      <c r="GT27" s="174"/>
      <c r="GU27" s="174"/>
      <c r="GV27" s="174"/>
      <c r="GW27" s="174"/>
      <c r="GX27" s="174"/>
      <c r="GY27" s="174"/>
      <c r="GZ27" s="174"/>
      <c r="HA27" s="174"/>
      <c r="HB27" s="174"/>
      <c r="HE27" s="34"/>
      <c r="HF27" s="174" t="str">
        <f>"Segmenty operacyjne za okres 3m-cy zakończonych "&amp;RIGHT(HF2,10)</f>
        <v>Segmenty operacyjne za okres 3m-cy zakończonych 31.03.2022</v>
      </c>
      <c r="HG27" s="174"/>
      <c r="HH27" s="174"/>
      <c r="HI27" s="174"/>
      <c r="HJ27" s="174"/>
      <c r="HK27" s="174"/>
      <c r="HL27" s="174"/>
      <c r="HM27" s="174"/>
      <c r="HN27" s="174"/>
      <c r="HO27" s="174"/>
      <c r="HP27" s="174"/>
      <c r="HS27" s="34"/>
      <c r="HT27" s="174" t="str">
        <f>"Segmenty operacyjne za okres 3m-cy zakończonych "&amp;RIGHT(HT2,10)</f>
        <v>Segmenty operacyjne za okres 3m-cy zakończonych 31.12.2021</v>
      </c>
      <c r="HU27" s="174"/>
      <c r="HV27" s="174"/>
      <c r="HW27" s="174"/>
      <c r="HX27" s="174"/>
      <c r="HY27" s="174"/>
      <c r="HZ27" s="174"/>
      <c r="IA27" s="174"/>
      <c r="IB27" s="174"/>
      <c r="IC27" s="174"/>
      <c r="ID27" s="174"/>
      <c r="IG27" s="34"/>
      <c r="IH27" s="174" t="str">
        <f>"Segmenty operacyjne za okres 3m-cy zakończonych "&amp;RIGHT(IH2,10)</f>
        <v>Segmenty operacyjne za okres 3m-cy zakończonych 30.09.2021</v>
      </c>
      <c r="II27" s="174"/>
      <c r="IJ27" s="174"/>
      <c r="IK27" s="174"/>
      <c r="IL27" s="174"/>
      <c r="IM27" s="174"/>
      <c r="IN27" s="174"/>
      <c r="IO27" s="174"/>
      <c r="IP27" s="174"/>
      <c r="IQ27" s="174"/>
      <c r="IR27" s="174"/>
      <c r="IU27" s="34"/>
      <c r="IV27" s="174" t="str">
        <f>"Segmenty operacyjne za okres 3m-cy zakończonych "&amp;RIGHT(IV2,10)</f>
        <v>Segmenty operacyjne za okres 3m-cy zakończonych 30.06.2021</v>
      </c>
      <c r="IW27" s="174"/>
      <c r="IX27" s="174"/>
      <c r="IY27" s="174"/>
      <c r="IZ27" s="174"/>
      <c r="JA27" s="174"/>
      <c r="JB27" s="174"/>
      <c r="JC27" s="174"/>
      <c r="JD27" s="174"/>
      <c r="JE27" s="174"/>
      <c r="JF27" s="174"/>
      <c r="JI27" s="34"/>
      <c r="JJ27" s="174" t="str">
        <f>"Segmenty operacyjne za okres 3m-cy zakończonych "&amp;RIGHT(JJ2,10)</f>
        <v>Segmenty operacyjne za okres 3m-cy zakończonych 31.03.2021</v>
      </c>
      <c r="JK27" s="174"/>
      <c r="JL27" s="174"/>
      <c r="JM27" s="174"/>
      <c r="JN27" s="174"/>
      <c r="JO27" s="174"/>
      <c r="JP27" s="174"/>
      <c r="JQ27" s="174"/>
      <c r="JR27" s="174"/>
      <c r="JS27" s="174"/>
      <c r="JT27" s="174"/>
      <c r="JW27" s="34"/>
      <c r="JX27" s="174" t="str">
        <f>"Segmenty operacyjne za okres 3m-cy zakończonych "&amp;RIGHT(JX2,10)</f>
        <v>Segmenty operacyjne za okres 3m-cy zakończonych 31.12.2020</v>
      </c>
      <c r="JY27" s="174"/>
      <c r="JZ27" s="174"/>
      <c r="KA27" s="174"/>
      <c r="KB27" s="174"/>
      <c r="KC27" s="174"/>
      <c r="KD27" s="174"/>
      <c r="KE27" s="174"/>
      <c r="KF27" s="174"/>
      <c r="KG27" s="174"/>
      <c r="KH27" s="174"/>
      <c r="KK27" s="34"/>
      <c r="KL27" s="174" t="str">
        <f>"Segmenty operacyjne za okres 3m-cy zakończonych "&amp;RIGHT(KL2,10)</f>
        <v>Segmenty operacyjne za okres 3m-cy zakończonych 30.09.2020</v>
      </c>
      <c r="KM27" s="174"/>
      <c r="KN27" s="174"/>
      <c r="KO27" s="174"/>
      <c r="KP27" s="174"/>
      <c r="KQ27" s="174"/>
      <c r="KR27" s="174"/>
      <c r="KS27" s="174"/>
      <c r="KT27" s="174"/>
      <c r="KU27" s="174"/>
      <c r="KV27" s="174"/>
      <c r="KY27" s="34"/>
      <c r="KZ27" s="174" t="str">
        <f>"Segmenty operacyjne za okres 3m-cy zakończonych "&amp;RIGHT(KZ2,10)</f>
        <v>Segmenty operacyjne za okres 3m-cy zakończonych 30.06.2020</v>
      </c>
      <c r="LA27" s="174"/>
      <c r="LB27" s="174"/>
      <c r="LC27" s="174"/>
      <c r="LD27" s="174"/>
      <c r="LE27" s="174"/>
      <c r="LF27" s="174"/>
      <c r="LG27" s="174"/>
      <c r="LH27" s="174"/>
      <c r="LI27" s="174"/>
      <c r="LJ27" s="174"/>
      <c r="LM27" s="34"/>
      <c r="LN27" s="174" t="str">
        <f>"Segmenty operacyjne za okres 3m-cy zakończonych "&amp;RIGHT(LN2,10)</f>
        <v>Segmenty operacyjne za okres 3m-cy zakończonych 31.03.2020</v>
      </c>
      <c r="LO27" s="174"/>
      <c r="LP27" s="174"/>
      <c r="LQ27" s="174"/>
      <c r="LR27" s="174"/>
      <c r="LS27" s="174"/>
      <c r="LT27" s="174"/>
      <c r="LU27" s="174"/>
      <c r="LV27" s="174"/>
      <c r="LW27" s="174"/>
      <c r="LX27" s="174"/>
      <c r="LZ27" s="34"/>
      <c r="MA27" s="174" t="str">
        <f>"Segmenty operacyjne za okres 3m-cy zakończonych "&amp;RIGHT(MA2,10)</f>
        <v>Segmenty operacyjne za okres 3m-cy zakończonych 31.12.2019</v>
      </c>
      <c r="MB27" s="174"/>
      <c r="MC27" s="174"/>
      <c r="MD27" s="174"/>
      <c r="ME27" s="174"/>
      <c r="MF27" s="175"/>
      <c r="MG27" s="174"/>
      <c r="MH27" s="174"/>
      <c r="MI27" s="174"/>
      <c r="MJ27" s="174"/>
      <c r="MK27" s="174"/>
      <c r="ML27" s="66"/>
      <c r="MM27" s="34"/>
      <c r="MN27" s="174" t="str">
        <f>"Segmenty operacyjne za okres 3m-cy zakończonych "&amp;RIGHT(MN2,10)</f>
        <v>Segmenty operacyjne za okres 3m-cy zakończonych 30.09.2019</v>
      </c>
      <c r="MO27" s="174"/>
      <c r="MP27" s="174"/>
      <c r="MQ27" s="174"/>
      <c r="MR27" s="174"/>
      <c r="MS27" s="174"/>
      <c r="MT27" s="174"/>
      <c r="MU27" s="174"/>
      <c r="MV27" s="174"/>
      <c r="MW27" s="174"/>
      <c r="MX27" s="174"/>
      <c r="NA27" s="34"/>
      <c r="NB27" s="174" t="str">
        <f>"Segmenty operacyjne za okres 3m-cy zakończonych "&amp;RIGHT(NB2,10)</f>
        <v>Segmenty operacyjne za okres 3m-cy zakończonych 30.06.2019</v>
      </c>
      <c r="NC27" s="174"/>
      <c r="ND27" s="174"/>
      <c r="NE27" s="174"/>
      <c r="NF27" s="174"/>
      <c r="NG27" s="174"/>
      <c r="NH27" s="174"/>
      <c r="NI27" s="174"/>
      <c r="NJ27" s="174"/>
      <c r="NK27" s="174"/>
      <c r="NL27" s="174"/>
      <c r="NO27" s="34"/>
      <c r="NP27" s="174" t="str">
        <f>"Segmenty operacyjne za okres 3m-cy zakończonych "&amp;RIGHT(NP2,10)</f>
        <v>Segmenty operacyjne za okres 3m-cy zakończonych 31.03.2019</v>
      </c>
      <c r="NQ27" s="174"/>
      <c r="NR27" s="174"/>
      <c r="NS27" s="174"/>
      <c r="NT27" s="174"/>
      <c r="NU27" s="174"/>
      <c r="NV27" s="174"/>
      <c r="NW27" s="174"/>
      <c r="NX27" s="174"/>
      <c r="NY27" s="174"/>
      <c r="NZ27" s="174"/>
      <c r="OB27" s="34"/>
      <c r="OC27" s="174" t="str">
        <f>"Segmenty operacyjne za okres 3m-cy zakończonych "&amp;RIGHT(OC2,10)</f>
        <v>Segmenty operacyjne za okres 3m-cy zakończonych 31.12.2018</v>
      </c>
      <c r="OD27" s="174"/>
      <c r="OE27" s="174"/>
      <c r="OF27" s="174"/>
      <c r="OG27" s="174"/>
      <c r="OH27" s="175"/>
      <c r="OI27" s="174"/>
      <c r="OJ27" s="174"/>
      <c r="OK27" s="174"/>
      <c r="OL27" s="174"/>
      <c r="OM27" s="174"/>
      <c r="OO27" s="34"/>
      <c r="OP27" s="174" t="str">
        <f>"Segmenty operacyjne za okres 3m-cy zakończonych "&amp;RIGHT(OP2,10)</f>
        <v>Segmenty operacyjne za okres 3m-cy zakończonych 30.09.2018</v>
      </c>
      <c r="OQ27" s="174"/>
      <c r="OR27" s="174"/>
      <c r="OS27" s="174"/>
      <c r="OT27" s="174"/>
      <c r="OU27" s="174"/>
      <c r="OV27" s="174"/>
      <c r="OW27" s="174"/>
      <c r="OX27" s="174"/>
      <c r="OY27" s="174"/>
      <c r="OZ27" s="174"/>
      <c r="PA27" s="28"/>
      <c r="PB27" s="34"/>
      <c r="PC27" s="174" t="str">
        <f>"Segmenty operacyjne za okres 3m-cy zakończonych "&amp;RIGHT(PC2,10)</f>
        <v>Segmenty operacyjne za okres 3m-cy zakończonych 30.06.2018</v>
      </c>
      <c r="PD27" s="174"/>
      <c r="PE27" s="174"/>
      <c r="PF27" s="174"/>
      <c r="PG27" s="174"/>
      <c r="PH27" s="174"/>
      <c r="PI27" s="174"/>
      <c r="PJ27" s="174"/>
      <c r="PK27" s="174"/>
      <c r="PL27" s="174"/>
      <c r="PM27" s="174"/>
      <c r="PN27" s="28"/>
      <c r="PO27" s="34"/>
      <c r="PP27" s="174" t="str">
        <f>"Segmenty operacyjne za okres 3m-cy zakończonych "&amp;RIGHT(PP2,10)</f>
        <v>Segmenty operacyjne za okres 3m-cy zakończonych 31.03.2018</v>
      </c>
      <c r="PQ27" s="174"/>
      <c r="PR27" s="174"/>
      <c r="PS27" s="174"/>
      <c r="PT27" s="174"/>
      <c r="PU27" s="174"/>
      <c r="PV27" s="174"/>
      <c r="PW27" s="174"/>
      <c r="PX27" s="174"/>
      <c r="PY27" s="174"/>
      <c r="PZ27" s="174"/>
      <c r="QA27" s="28"/>
      <c r="QB27" s="34"/>
      <c r="QC27" s="174" t="str">
        <f>"Segmenty operacyjne za okres 3m-cy zakończonych "&amp;RIGHT(QC2,10)</f>
        <v>Segmenty operacyjne za okres 3m-cy zakończonych 31.12.2017</v>
      </c>
      <c r="QD27" s="174"/>
      <c r="QE27" s="174"/>
      <c r="QF27" s="174"/>
      <c r="QG27" s="174"/>
      <c r="QH27" s="174"/>
      <c r="QI27" s="174"/>
      <c r="QJ27" s="174"/>
      <c r="QK27" s="174"/>
      <c r="QL27" s="174"/>
      <c r="QM27" s="174"/>
      <c r="QN27" s="28"/>
      <c r="QO27" s="34"/>
      <c r="QP27" s="174" t="str">
        <f>"Segmenty operacyjne za okres 3m-cy zakończonych "&amp;RIGHT(QP2,10)</f>
        <v>Segmenty operacyjne za okres 3m-cy zakończonych 30.09.2017</v>
      </c>
      <c r="QQ27" s="174"/>
      <c r="QR27" s="174"/>
      <c r="QS27" s="174"/>
      <c r="QT27" s="174"/>
      <c r="QU27" s="174"/>
      <c r="QV27" s="174"/>
      <c r="QW27" s="174"/>
      <c r="QX27" s="174"/>
      <c r="QY27" s="174"/>
      <c r="QZ27" s="174"/>
      <c r="RA27" s="28"/>
      <c r="RB27" s="34"/>
      <c r="RC27" s="174" t="str">
        <f>"Segmenty operacyjne za okres 3m-cy zakończonych "&amp;RIGHT(RC2,10)</f>
        <v>Segmenty operacyjne za okres 3m-cy zakończonych 30.06.2017</v>
      </c>
      <c r="RD27" s="174"/>
      <c r="RE27" s="174"/>
      <c r="RF27" s="174"/>
      <c r="RG27" s="174"/>
      <c r="RH27" s="174"/>
      <c r="RI27" s="174"/>
      <c r="RJ27" s="174"/>
      <c r="RK27" s="174"/>
      <c r="RL27" s="174"/>
      <c r="RM27" s="174"/>
      <c r="RN27" s="28"/>
      <c r="RO27" s="34"/>
      <c r="RP27" s="174" t="str">
        <f>"Segmenty operacyjne za okres 3m-cy zakończonych "&amp;RIGHT(RP2,10)</f>
        <v>Segmenty operacyjne za okres 3m-cy zakończonych 30.03.2017</v>
      </c>
      <c r="RQ27" s="174"/>
      <c r="RR27" s="174"/>
      <c r="RS27" s="174"/>
      <c r="RT27" s="174"/>
      <c r="RU27" s="174"/>
      <c r="RV27" s="174"/>
      <c r="RW27" s="174"/>
      <c r="RX27" s="174"/>
      <c r="RY27" s="174"/>
      <c r="RZ27" s="174"/>
      <c r="SA27" s="28"/>
      <c r="SB27" s="34"/>
      <c r="SC27" s="174" t="s">
        <v>79</v>
      </c>
      <c r="SD27" s="174"/>
      <c r="SE27" s="174"/>
      <c r="SF27" s="174"/>
      <c r="SG27" s="174"/>
      <c r="SH27" s="174"/>
      <c r="SI27" s="174"/>
      <c r="SJ27" s="174"/>
      <c r="SK27" s="174"/>
      <c r="SL27" s="174"/>
      <c r="SM27" s="174"/>
      <c r="SN27" s="28"/>
      <c r="SO27" s="34"/>
      <c r="SP27" s="174" t="s">
        <v>80</v>
      </c>
      <c r="SQ27" s="174"/>
      <c r="SR27" s="174"/>
      <c r="SS27" s="174"/>
      <c r="ST27" s="174"/>
      <c r="SU27" s="174"/>
      <c r="SV27" s="174"/>
      <c r="SW27" s="174"/>
      <c r="SX27" s="174"/>
      <c r="SY27" s="174"/>
      <c r="SZ27" s="174"/>
      <c r="TA27" s="28"/>
      <c r="TB27" s="34"/>
      <c r="TC27" s="174" t="s">
        <v>81</v>
      </c>
      <c r="TD27" s="174"/>
      <c r="TE27" s="174"/>
      <c r="TF27" s="174"/>
      <c r="TG27" s="174"/>
      <c r="TH27" s="174"/>
      <c r="TI27" s="174"/>
      <c r="TJ27" s="174"/>
      <c r="TK27" s="174"/>
      <c r="TL27" s="174"/>
      <c r="TM27" s="174"/>
      <c r="TN27" s="28"/>
      <c r="TO27" s="34"/>
      <c r="TP27" s="174" t="str">
        <f>TP2</f>
        <v>Segmenty operacyjne za okres 3 m-cy zakończonych 31.03.2016</v>
      </c>
      <c r="TQ27" s="174"/>
      <c r="TR27" s="174"/>
      <c r="TS27" s="174"/>
      <c r="TT27" s="174"/>
      <c r="TU27" s="174"/>
      <c r="TV27" s="174"/>
      <c r="TW27" s="174"/>
      <c r="TX27" s="174"/>
      <c r="TY27" s="174"/>
      <c r="TZ27" s="174"/>
      <c r="UA27" s="28"/>
      <c r="UB27" s="34"/>
      <c r="UC27" s="174" t="s">
        <v>73</v>
      </c>
      <c r="UD27" s="174"/>
      <c r="UE27" s="174"/>
      <c r="UF27" s="174"/>
      <c r="UG27" s="174"/>
      <c r="UH27" s="174"/>
      <c r="UI27" s="174"/>
      <c r="UJ27" s="174"/>
      <c r="UK27" s="174"/>
      <c r="UL27" s="174"/>
      <c r="UM27" s="174"/>
      <c r="UN27" s="28"/>
      <c r="UO27" s="34"/>
      <c r="UP27" s="174" t="s">
        <v>66</v>
      </c>
      <c r="UQ27" s="174"/>
      <c r="UR27" s="174"/>
      <c r="US27" s="174"/>
      <c r="UT27" s="174"/>
      <c r="UU27" s="174"/>
      <c r="UV27" s="174"/>
      <c r="UW27" s="174"/>
      <c r="UX27" s="174"/>
      <c r="UY27" s="174"/>
      <c r="UZ27" s="174"/>
      <c r="VA27" s="28"/>
      <c r="VB27" s="34"/>
      <c r="VC27" s="174" t="s">
        <v>68</v>
      </c>
      <c r="VD27" s="174"/>
      <c r="VE27" s="174"/>
      <c r="VF27" s="174"/>
      <c r="VG27" s="174"/>
      <c r="VH27" s="174"/>
      <c r="VI27" s="174"/>
      <c r="VJ27" s="174"/>
      <c r="VK27" s="174"/>
      <c r="VL27" s="174"/>
      <c r="VM27" s="174"/>
      <c r="VN27" s="28"/>
      <c r="VO27" s="34"/>
      <c r="VP27" s="174" t="str">
        <f>VP2</f>
        <v>Segmenty operacyjne za okres 3 m-cy zakończonych 31.03.2015</v>
      </c>
      <c r="VQ27" s="174"/>
      <c r="VR27" s="174"/>
      <c r="VS27" s="174"/>
      <c r="VT27" s="174"/>
      <c r="VU27" s="174"/>
      <c r="VV27" s="174"/>
      <c r="VW27" s="174"/>
      <c r="VX27" s="174"/>
      <c r="VY27" s="174"/>
      <c r="VZ27" s="174"/>
      <c r="WA27" s="28"/>
      <c r="WB27" s="34"/>
      <c r="WC27" s="174" t="s">
        <v>74</v>
      </c>
      <c r="WD27" s="174"/>
      <c r="WE27" s="174"/>
      <c r="WF27" s="174"/>
      <c r="WG27" s="174"/>
      <c r="WH27" s="174"/>
      <c r="WI27" s="174"/>
      <c r="WJ27" s="174"/>
      <c r="WK27" s="174"/>
      <c r="WL27" s="174"/>
      <c r="WM27" s="174"/>
      <c r="WN27" s="28"/>
      <c r="WO27" s="34"/>
      <c r="WP27" s="174" t="s">
        <v>69</v>
      </c>
      <c r="WQ27" s="174"/>
      <c r="WR27" s="174"/>
      <c r="WS27" s="174"/>
      <c r="WT27" s="174"/>
      <c r="WU27" s="174"/>
      <c r="WV27" s="174"/>
      <c r="WW27" s="174"/>
      <c r="WX27" s="174"/>
      <c r="WY27" s="174"/>
      <c r="WZ27" s="174"/>
      <c r="XA27" s="28"/>
      <c r="XB27" s="34"/>
      <c r="XC27" s="174" t="s">
        <v>70</v>
      </c>
      <c r="XD27" s="174"/>
      <c r="XE27" s="174"/>
      <c r="XF27" s="174"/>
      <c r="XG27" s="174"/>
      <c r="XH27" s="174"/>
      <c r="XI27" s="174"/>
      <c r="XJ27" s="174"/>
      <c r="XK27" s="174"/>
      <c r="XL27" s="174"/>
      <c r="XM27" s="174"/>
      <c r="XN27" s="28"/>
      <c r="XO27" s="34"/>
      <c r="XP27" s="174" t="str">
        <f>XP2</f>
        <v xml:space="preserve">Segmenty operacyjne za okres 3 m-cy zakończonych 31.03.2014 </v>
      </c>
      <c r="XQ27" s="174"/>
      <c r="XR27" s="174"/>
      <c r="XS27" s="174"/>
      <c r="XT27" s="174"/>
      <c r="XU27" s="174"/>
      <c r="XV27" s="174"/>
      <c r="XW27" s="174"/>
      <c r="XX27" s="174"/>
      <c r="XY27" s="174"/>
      <c r="XZ27" s="174"/>
      <c r="YA27" s="27"/>
      <c r="YB27" s="34"/>
      <c r="YC27" s="174" t="s">
        <v>71</v>
      </c>
      <c r="YD27" s="174"/>
      <c r="YE27" s="174"/>
      <c r="YF27" s="174"/>
      <c r="YG27" s="174"/>
      <c r="YH27" s="174"/>
      <c r="YI27" s="174"/>
      <c r="YJ27" s="174"/>
      <c r="YK27" s="174"/>
      <c r="YL27" s="174"/>
      <c r="YM27" s="174"/>
      <c r="YN27" s="28"/>
      <c r="YO27" s="34"/>
      <c r="YP27" s="174"/>
      <c r="YQ27" s="174"/>
      <c r="YR27" s="174"/>
      <c r="YS27" s="174"/>
      <c r="YT27" s="174"/>
      <c r="YU27" s="174"/>
      <c r="YV27" s="174"/>
      <c r="YW27" s="174"/>
      <c r="YX27" s="174"/>
      <c r="YY27" s="174"/>
      <c r="YZ27" s="174"/>
    </row>
    <row r="28" spans="1:676" ht="42">
      <c r="B28" s="5" t="s">
        <v>31</v>
      </c>
      <c r="D28" s="5" t="s">
        <v>32</v>
      </c>
      <c r="F28" s="62" t="s">
        <v>99</v>
      </c>
      <c r="H28" s="62" t="s">
        <v>134</v>
      </c>
      <c r="J28" s="5" t="s">
        <v>34</v>
      </c>
      <c r="L28" s="5" t="s">
        <v>35</v>
      </c>
      <c r="N28" s="5" t="s">
        <v>116</v>
      </c>
      <c r="R28" s="5" t="s">
        <v>31</v>
      </c>
      <c r="T28" s="5" t="s">
        <v>32</v>
      </c>
      <c r="V28" s="62" t="s">
        <v>99</v>
      </c>
      <c r="W28" s="62"/>
      <c r="X28" s="62" t="s">
        <v>134</v>
      </c>
      <c r="Z28" s="5" t="s">
        <v>34</v>
      </c>
      <c r="AB28" s="5" t="s">
        <v>35</v>
      </c>
      <c r="AD28" s="5" t="s">
        <v>116</v>
      </c>
      <c r="AH28" s="5" t="s">
        <v>31</v>
      </c>
      <c r="AJ28" s="5" t="s">
        <v>32</v>
      </c>
      <c r="AL28" s="62" t="s">
        <v>99</v>
      </c>
      <c r="AM28" s="62"/>
      <c r="AN28" s="62" t="s">
        <v>134</v>
      </c>
      <c r="AP28" s="5" t="s">
        <v>34</v>
      </c>
      <c r="AR28" s="5" t="s">
        <v>35</v>
      </c>
      <c r="AT28" s="5" t="s">
        <v>116</v>
      </c>
      <c r="AX28" s="5" t="s">
        <v>31</v>
      </c>
      <c r="AZ28" s="5" t="s">
        <v>32</v>
      </c>
      <c r="BB28" s="62" t="s">
        <v>99</v>
      </c>
      <c r="BC28" s="62"/>
      <c r="BD28" s="62" t="s">
        <v>134</v>
      </c>
      <c r="BF28" s="5" t="s">
        <v>34</v>
      </c>
      <c r="BH28" s="5" t="s">
        <v>35</v>
      </c>
      <c r="BJ28" s="5" t="s">
        <v>116</v>
      </c>
      <c r="BN28" s="5" t="s">
        <v>31</v>
      </c>
      <c r="BP28" s="5" t="s">
        <v>32</v>
      </c>
      <c r="BR28" s="62" t="s">
        <v>99</v>
      </c>
      <c r="BT28" s="62" t="s">
        <v>134</v>
      </c>
      <c r="BV28" s="5" t="s">
        <v>34</v>
      </c>
      <c r="BX28" s="5" t="s">
        <v>35</v>
      </c>
      <c r="BZ28" s="5" t="s">
        <v>116</v>
      </c>
      <c r="CD28" s="5" t="s">
        <v>31</v>
      </c>
      <c r="CF28" s="5" t="s">
        <v>32</v>
      </c>
      <c r="CH28" s="62" t="s">
        <v>99</v>
      </c>
      <c r="CI28" s="62"/>
      <c r="CJ28" s="62" t="s">
        <v>134</v>
      </c>
      <c r="CL28" s="5" t="s">
        <v>34</v>
      </c>
      <c r="CN28" s="5" t="s">
        <v>35</v>
      </c>
      <c r="CP28" s="5" t="s">
        <v>116</v>
      </c>
      <c r="CT28" s="5" t="s">
        <v>31</v>
      </c>
      <c r="CV28" s="5" t="s">
        <v>32</v>
      </c>
      <c r="CX28" s="62" t="s">
        <v>99</v>
      </c>
      <c r="CY28" s="62"/>
      <c r="CZ28" s="62" t="s">
        <v>134</v>
      </c>
      <c r="DB28" s="5" t="s">
        <v>34</v>
      </c>
      <c r="DD28" s="5" t="s">
        <v>35</v>
      </c>
      <c r="DF28" s="5" t="s">
        <v>116</v>
      </c>
      <c r="DJ28" s="5" t="s">
        <v>31</v>
      </c>
      <c r="DL28" s="5" t="s">
        <v>32</v>
      </c>
      <c r="DN28" s="62" t="s">
        <v>99</v>
      </c>
      <c r="DO28" s="62"/>
      <c r="DP28" s="62" t="s">
        <v>134</v>
      </c>
      <c r="DR28" s="5" t="s">
        <v>34</v>
      </c>
      <c r="DT28" s="5" t="s">
        <v>35</v>
      </c>
      <c r="DV28" s="5" t="s">
        <v>116</v>
      </c>
      <c r="DZ28" s="5" t="s">
        <v>31</v>
      </c>
      <c r="EB28" s="5" t="s">
        <v>32</v>
      </c>
      <c r="ED28" s="62" t="s">
        <v>99</v>
      </c>
      <c r="EF28" s="5" t="s">
        <v>34</v>
      </c>
      <c r="EH28" s="5" t="s">
        <v>35</v>
      </c>
      <c r="EJ28" s="5" t="s">
        <v>116</v>
      </c>
      <c r="EN28" s="5" t="s">
        <v>31</v>
      </c>
      <c r="EP28" s="5" t="s">
        <v>32</v>
      </c>
      <c r="ER28" s="62" t="s">
        <v>99</v>
      </c>
      <c r="ET28" s="5" t="s">
        <v>34</v>
      </c>
      <c r="EV28" s="5" t="s">
        <v>35</v>
      </c>
      <c r="EX28" s="5" t="s">
        <v>116</v>
      </c>
      <c r="FB28" s="5" t="s">
        <v>31</v>
      </c>
      <c r="FD28" s="5" t="s">
        <v>32</v>
      </c>
      <c r="FF28" s="62" t="s">
        <v>99</v>
      </c>
      <c r="FH28" s="5" t="s">
        <v>34</v>
      </c>
      <c r="FJ28" s="5" t="s">
        <v>35</v>
      </c>
      <c r="FL28" s="5" t="s">
        <v>116</v>
      </c>
      <c r="FP28" s="5" t="s">
        <v>31</v>
      </c>
      <c r="FR28" s="5" t="s">
        <v>32</v>
      </c>
      <c r="FT28" s="62" t="s">
        <v>99</v>
      </c>
      <c r="FV28" s="5" t="s">
        <v>34</v>
      </c>
      <c r="FX28" s="5" t="s">
        <v>35</v>
      </c>
      <c r="FZ28" s="5" t="s">
        <v>116</v>
      </c>
      <c r="GD28" s="5" t="s">
        <v>31</v>
      </c>
      <c r="GF28" s="5" t="s">
        <v>32</v>
      </c>
      <c r="GH28" s="62" t="s">
        <v>99</v>
      </c>
      <c r="GJ28" s="5" t="s">
        <v>34</v>
      </c>
      <c r="GL28" s="5" t="s">
        <v>35</v>
      </c>
      <c r="GN28" s="5" t="s">
        <v>116</v>
      </c>
      <c r="GR28" s="5" t="s">
        <v>31</v>
      </c>
      <c r="GT28" s="5" t="s">
        <v>32</v>
      </c>
      <c r="GV28" s="62" t="s">
        <v>99</v>
      </c>
      <c r="GX28" s="5" t="s">
        <v>34</v>
      </c>
      <c r="GZ28" s="5" t="s">
        <v>35</v>
      </c>
      <c r="HB28" s="5" t="s">
        <v>116</v>
      </c>
      <c r="HF28" s="5" t="s">
        <v>31</v>
      </c>
      <c r="HH28" s="5" t="s">
        <v>32</v>
      </c>
      <c r="HJ28" s="62" t="s">
        <v>99</v>
      </c>
      <c r="HL28" s="5" t="s">
        <v>34</v>
      </c>
      <c r="HN28" s="5" t="s">
        <v>35</v>
      </c>
      <c r="HP28" s="5" t="s">
        <v>116</v>
      </c>
      <c r="HT28" s="5" t="s">
        <v>31</v>
      </c>
      <c r="HV28" s="5" t="s">
        <v>32</v>
      </c>
      <c r="HX28" s="62" t="s">
        <v>99</v>
      </c>
      <c r="HZ28" s="5" t="s">
        <v>34</v>
      </c>
      <c r="IB28" s="5" t="s">
        <v>35</v>
      </c>
      <c r="ID28" s="5" t="s">
        <v>116</v>
      </c>
      <c r="IH28" s="5" t="s">
        <v>31</v>
      </c>
      <c r="IJ28" s="5" t="s">
        <v>32</v>
      </c>
      <c r="IL28" s="62" t="s">
        <v>99</v>
      </c>
      <c r="IN28" s="5" t="s">
        <v>34</v>
      </c>
      <c r="IP28" s="5" t="s">
        <v>35</v>
      </c>
      <c r="IR28" s="5" t="s">
        <v>36</v>
      </c>
      <c r="IV28" s="5" t="s">
        <v>31</v>
      </c>
      <c r="IX28" s="5" t="s">
        <v>32</v>
      </c>
      <c r="IZ28" s="62" t="s">
        <v>99</v>
      </c>
      <c r="JB28" s="5" t="s">
        <v>34</v>
      </c>
      <c r="JD28" s="5" t="s">
        <v>35</v>
      </c>
      <c r="JF28" s="5" t="s">
        <v>36</v>
      </c>
      <c r="JJ28" s="5" t="s">
        <v>31</v>
      </c>
      <c r="JL28" s="5" t="s">
        <v>32</v>
      </c>
      <c r="JN28" s="62" t="s">
        <v>99</v>
      </c>
      <c r="JP28" s="5" t="s">
        <v>34</v>
      </c>
      <c r="JR28" s="5" t="s">
        <v>35</v>
      </c>
      <c r="JT28" s="5" t="s">
        <v>36</v>
      </c>
      <c r="JX28" s="5" t="s">
        <v>31</v>
      </c>
      <c r="JZ28" s="5" t="s">
        <v>32</v>
      </c>
      <c r="KB28" s="62" t="s">
        <v>99</v>
      </c>
      <c r="KD28" s="5" t="s">
        <v>34</v>
      </c>
      <c r="KF28" s="5" t="s">
        <v>35</v>
      </c>
      <c r="KH28" s="5" t="s">
        <v>36</v>
      </c>
      <c r="KL28" s="5" t="s">
        <v>31</v>
      </c>
      <c r="KN28" s="5" t="s">
        <v>32</v>
      </c>
      <c r="KP28" s="62" t="s">
        <v>99</v>
      </c>
      <c r="KR28" s="5" t="s">
        <v>34</v>
      </c>
      <c r="KT28" s="5" t="s">
        <v>35</v>
      </c>
      <c r="KV28" s="5" t="s">
        <v>36</v>
      </c>
      <c r="KZ28" s="5" t="s">
        <v>31</v>
      </c>
      <c r="LB28" s="5" t="s">
        <v>32</v>
      </c>
      <c r="LD28" s="62" t="s">
        <v>99</v>
      </c>
      <c r="LF28" s="5" t="s">
        <v>34</v>
      </c>
      <c r="LH28" s="5" t="s">
        <v>35</v>
      </c>
      <c r="LJ28" s="5" t="s">
        <v>36</v>
      </c>
      <c r="LN28" s="5" t="s">
        <v>31</v>
      </c>
      <c r="LP28" s="5" t="s">
        <v>32</v>
      </c>
      <c r="LR28" s="52" t="s">
        <v>99</v>
      </c>
      <c r="LT28" s="5" t="s">
        <v>34</v>
      </c>
      <c r="LV28" s="6" t="s">
        <v>35</v>
      </c>
      <c r="LX28" s="5" t="s">
        <v>36</v>
      </c>
      <c r="MA28" s="5" t="s">
        <v>31</v>
      </c>
      <c r="MC28" s="5" t="s">
        <v>32</v>
      </c>
      <c r="ME28" s="52" t="s">
        <v>99</v>
      </c>
      <c r="MF28" s="61"/>
      <c r="MG28" s="5" t="s">
        <v>34</v>
      </c>
      <c r="MI28" s="6" t="s">
        <v>35</v>
      </c>
      <c r="MK28" s="5" t="s">
        <v>36</v>
      </c>
      <c r="ML28" s="5"/>
      <c r="MN28" s="5" t="s">
        <v>31</v>
      </c>
      <c r="MP28" s="5" t="s">
        <v>32</v>
      </c>
      <c r="MR28" s="62" t="s">
        <v>99</v>
      </c>
      <c r="MT28" s="5" t="s">
        <v>34</v>
      </c>
      <c r="MV28" s="5" t="s">
        <v>35</v>
      </c>
      <c r="MX28" s="5" t="s">
        <v>36</v>
      </c>
      <c r="NB28" s="5" t="s">
        <v>31</v>
      </c>
      <c r="ND28" s="5" t="s">
        <v>32</v>
      </c>
      <c r="NF28" s="62" t="s">
        <v>99</v>
      </c>
      <c r="NH28" s="5" t="s">
        <v>34</v>
      </c>
      <c r="NJ28" s="5" t="s">
        <v>35</v>
      </c>
      <c r="NL28" s="5" t="s">
        <v>36</v>
      </c>
      <c r="NP28" s="5" t="s">
        <v>31</v>
      </c>
      <c r="NR28" s="5" t="s">
        <v>32</v>
      </c>
      <c r="NT28" s="52" t="s">
        <v>99</v>
      </c>
      <c r="NV28" s="5" t="s">
        <v>34</v>
      </c>
      <c r="NX28" s="6" t="s">
        <v>35</v>
      </c>
      <c r="NZ28" s="5" t="s">
        <v>36</v>
      </c>
      <c r="OC28" s="5" t="s">
        <v>31</v>
      </c>
      <c r="OE28" s="5" t="s">
        <v>32</v>
      </c>
      <c r="OG28" s="52" t="s">
        <v>99</v>
      </c>
      <c r="OH28" s="61"/>
      <c r="OI28" s="5" t="s">
        <v>34</v>
      </c>
      <c r="OK28" s="6" t="s">
        <v>35</v>
      </c>
      <c r="OM28" s="5" t="s">
        <v>36</v>
      </c>
      <c r="OP28" s="5" t="s">
        <v>31</v>
      </c>
      <c r="OR28" s="5" t="s">
        <v>32</v>
      </c>
      <c r="OT28" s="52" t="s">
        <v>99</v>
      </c>
      <c r="OV28" s="5" t="s">
        <v>34</v>
      </c>
      <c r="OX28" s="6" t="s">
        <v>35</v>
      </c>
      <c r="OZ28" s="5" t="s">
        <v>36</v>
      </c>
      <c r="PC28" s="5" t="s">
        <v>31</v>
      </c>
      <c r="PE28" s="5" t="s">
        <v>32</v>
      </c>
      <c r="PG28" s="38" t="s">
        <v>33</v>
      </c>
      <c r="PI28" s="5" t="s">
        <v>34</v>
      </c>
      <c r="PK28" s="6" t="s">
        <v>35</v>
      </c>
      <c r="PM28" s="5" t="s">
        <v>36</v>
      </c>
      <c r="PP28" s="5" t="s">
        <v>31</v>
      </c>
      <c r="PR28" s="5" t="s">
        <v>32</v>
      </c>
      <c r="PT28" s="38" t="s">
        <v>33</v>
      </c>
      <c r="PV28" s="5" t="s">
        <v>34</v>
      </c>
      <c r="PX28" s="6" t="s">
        <v>35</v>
      </c>
      <c r="PZ28" s="5" t="s">
        <v>36</v>
      </c>
      <c r="QC28" s="5" t="s">
        <v>31</v>
      </c>
      <c r="QE28" s="5" t="s">
        <v>32</v>
      </c>
      <c r="QG28" s="38" t="s">
        <v>33</v>
      </c>
      <c r="QI28" s="5" t="s">
        <v>34</v>
      </c>
      <c r="QK28" s="6" t="s">
        <v>35</v>
      </c>
      <c r="QM28" s="5" t="s">
        <v>36</v>
      </c>
      <c r="QP28" s="5" t="s">
        <v>31</v>
      </c>
      <c r="QR28" s="5" t="s">
        <v>32</v>
      </c>
      <c r="QT28" s="5" t="s">
        <v>33</v>
      </c>
      <c r="QV28" s="5" t="s">
        <v>34</v>
      </c>
      <c r="QX28" s="6" t="s">
        <v>35</v>
      </c>
      <c r="QZ28" s="5" t="s">
        <v>36</v>
      </c>
      <c r="RC28" s="5" t="s">
        <v>31</v>
      </c>
      <c r="RE28" s="5" t="s">
        <v>32</v>
      </c>
      <c r="RG28" s="5" t="s">
        <v>33</v>
      </c>
      <c r="RI28" s="5" t="s">
        <v>34</v>
      </c>
      <c r="RK28" s="6" t="s">
        <v>35</v>
      </c>
      <c r="RM28" s="5" t="s">
        <v>36</v>
      </c>
      <c r="RP28" s="5" t="s">
        <v>31</v>
      </c>
      <c r="RR28" s="5" t="s">
        <v>32</v>
      </c>
      <c r="RT28" s="5" t="s">
        <v>33</v>
      </c>
      <c r="RV28" s="5" t="s">
        <v>34</v>
      </c>
      <c r="RX28" s="6" t="s">
        <v>35</v>
      </c>
      <c r="RZ28" s="5" t="s">
        <v>36</v>
      </c>
      <c r="SC28" s="5" t="s">
        <v>31</v>
      </c>
      <c r="SE28" s="5" t="s">
        <v>32</v>
      </c>
      <c r="SG28" s="5" t="s">
        <v>33</v>
      </c>
      <c r="SI28" s="5" t="s">
        <v>34</v>
      </c>
      <c r="SK28" s="6" t="s">
        <v>35</v>
      </c>
      <c r="SM28" s="5" t="s">
        <v>36</v>
      </c>
      <c r="SP28" s="5" t="s">
        <v>31</v>
      </c>
      <c r="SR28" s="5" t="s">
        <v>32</v>
      </c>
      <c r="ST28" s="5" t="s">
        <v>33</v>
      </c>
      <c r="SV28" s="5" t="s">
        <v>34</v>
      </c>
      <c r="SX28" s="6" t="s">
        <v>35</v>
      </c>
      <c r="SZ28" s="5" t="s">
        <v>36</v>
      </c>
      <c r="TC28" s="5" t="s">
        <v>31</v>
      </c>
      <c r="TE28" s="5" t="s">
        <v>32</v>
      </c>
      <c r="TG28" s="5" t="s">
        <v>33</v>
      </c>
      <c r="TI28" s="5" t="s">
        <v>34</v>
      </c>
      <c r="TK28" s="6" t="s">
        <v>35</v>
      </c>
      <c r="TM28" s="5" t="s">
        <v>36</v>
      </c>
      <c r="TP28" s="5" t="s">
        <v>31</v>
      </c>
      <c r="TR28" s="5" t="s">
        <v>32</v>
      </c>
      <c r="TT28" s="5" t="s">
        <v>33</v>
      </c>
      <c r="TV28" s="5" t="s">
        <v>34</v>
      </c>
      <c r="TX28" s="6" t="s">
        <v>35</v>
      </c>
      <c r="TZ28" s="5" t="s">
        <v>36</v>
      </c>
      <c r="UC28" s="5" t="s">
        <v>31</v>
      </c>
      <c r="UE28" s="5" t="s">
        <v>32</v>
      </c>
      <c r="UG28" s="5" t="s">
        <v>33</v>
      </c>
      <c r="UI28" s="5" t="s">
        <v>34</v>
      </c>
      <c r="UK28" s="6" t="s">
        <v>35</v>
      </c>
      <c r="UM28" s="5" t="s">
        <v>36</v>
      </c>
      <c r="UP28" s="5" t="s">
        <v>31</v>
      </c>
      <c r="UR28" s="5" t="s">
        <v>32</v>
      </c>
      <c r="UT28" s="5" t="s">
        <v>33</v>
      </c>
      <c r="UV28" s="5" t="s">
        <v>34</v>
      </c>
      <c r="UX28" s="6" t="s">
        <v>35</v>
      </c>
      <c r="UZ28" s="5" t="s">
        <v>36</v>
      </c>
      <c r="VC28" s="5" t="s">
        <v>31</v>
      </c>
      <c r="VE28" s="5" t="s">
        <v>32</v>
      </c>
      <c r="VG28" s="5" t="s">
        <v>33</v>
      </c>
      <c r="VI28" s="5" t="s">
        <v>34</v>
      </c>
      <c r="VK28" s="6" t="s">
        <v>35</v>
      </c>
      <c r="VM28" s="5" t="s">
        <v>36</v>
      </c>
      <c r="VP28" s="5" t="s">
        <v>31</v>
      </c>
      <c r="VR28" s="5" t="s">
        <v>32</v>
      </c>
      <c r="VT28" s="5" t="s">
        <v>33</v>
      </c>
      <c r="VV28" s="5" t="s">
        <v>34</v>
      </c>
      <c r="VX28" s="6" t="s">
        <v>35</v>
      </c>
      <c r="VZ28" s="5" t="s">
        <v>36</v>
      </c>
      <c r="WC28" s="5" t="s">
        <v>31</v>
      </c>
      <c r="WE28" s="5" t="s">
        <v>32</v>
      </c>
      <c r="WG28" s="5" t="s">
        <v>33</v>
      </c>
      <c r="WI28" s="5" t="s">
        <v>34</v>
      </c>
      <c r="WK28" s="6" t="s">
        <v>35</v>
      </c>
      <c r="WM28" s="5" t="s">
        <v>36</v>
      </c>
      <c r="WP28" s="5" t="s">
        <v>31</v>
      </c>
      <c r="WR28" s="5" t="s">
        <v>32</v>
      </c>
      <c r="WT28" s="5" t="s">
        <v>33</v>
      </c>
      <c r="WV28" s="5" t="s">
        <v>34</v>
      </c>
      <c r="WX28" s="6" t="s">
        <v>35</v>
      </c>
      <c r="WZ28" s="5" t="s">
        <v>36</v>
      </c>
      <c r="XC28" s="5" t="s">
        <v>31</v>
      </c>
      <c r="XE28" s="5" t="s">
        <v>32</v>
      </c>
      <c r="XG28" s="5" t="s">
        <v>33</v>
      </c>
      <c r="XI28" s="5" t="s">
        <v>34</v>
      </c>
      <c r="XK28" s="6" t="s">
        <v>35</v>
      </c>
      <c r="XM28" s="5" t="s">
        <v>36</v>
      </c>
      <c r="XP28" s="5" t="s">
        <v>31</v>
      </c>
      <c r="XR28" s="5" t="s">
        <v>32</v>
      </c>
      <c r="XT28" s="5" t="s">
        <v>33</v>
      </c>
      <c r="XV28" s="5" t="s">
        <v>34</v>
      </c>
      <c r="XX28" s="6" t="s">
        <v>35</v>
      </c>
      <c r="XZ28" s="5" t="s">
        <v>36</v>
      </c>
      <c r="YC28" s="5" t="s">
        <v>31</v>
      </c>
      <c r="YE28" s="5" t="s">
        <v>32</v>
      </c>
      <c r="YG28" s="5" t="s">
        <v>33</v>
      </c>
      <c r="YI28" s="5" t="s">
        <v>34</v>
      </c>
      <c r="YK28" s="6" t="s">
        <v>35</v>
      </c>
      <c r="YM28" s="5" t="s">
        <v>36</v>
      </c>
      <c r="YP28" s="5"/>
      <c r="YR28" s="5"/>
      <c r="YT28" s="5"/>
      <c r="YV28" s="5"/>
      <c r="YX28" s="6"/>
      <c r="YZ28" s="5"/>
    </row>
    <row r="29" spans="1:676">
      <c r="H29" s="61"/>
      <c r="X29" s="61"/>
      <c r="LR29" s="53"/>
      <c r="ME29" s="53"/>
      <c r="MF29" s="61"/>
      <c r="NT29" s="53"/>
      <c r="OG29" s="53"/>
      <c r="OH29" s="61"/>
      <c r="OT29" s="53"/>
      <c r="PG29" s="39"/>
      <c r="PT29" s="39"/>
      <c r="QG29" s="39"/>
    </row>
    <row r="30" spans="1:676">
      <c r="A30" s="7" t="s">
        <v>37</v>
      </c>
      <c r="B30" s="8" t="e">
        <f>SUM(B31:B33)</f>
        <v>#REF!</v>
      </c>
      <c r="C30" s="9"/>
      <c r="D30" s="8" t="e">
        <f>SUM(D31:D33)</f>
        <v>#REF!</v>
      </c>
      <c r="E30" s="8"/>
      <c r="F30" s="63" t="e">
        <f>SUM(F31:F33)</f>
        <v>#REF!</v>
      </c>
      <c r="G30" s="8"/>
      <c r="H30" s="63" t="e">
        <f>SUM(H31:H33)</f>
        <v>#REF!</v>
      </c>
      <c r="I30" s="8"/>
      <c r="J30" s="8" t="e">
        <f>SUM(J31:J33)</f>
        <v>#REF!</v>
      </c>
      <c r="K30" s="8"/>
      <c r="L30" s="8" t="e">
        <f>SUM(L31:L33)</f>
        <v>#REF!</v>
      </c>
      <c r="M30" s="8"/>
      <c r="N30" s="8" t="e">
        <f>SUM(N31:N33)</f>
        <v>#REF!</v>
      </c>
      <c r="Q30" s="7" t="s">
        <v>37</v>
      </c>
      <c r="R30" s="8" t="e">
        <f>SUM(R31:R33)</f>
        <v>#REF!</v>
      </c>
      <c r="S30" s="9"/>
      <c r="T30" s="8" t="e">
        <f>SUM(T31:T33)</f>
        <v>#REF!</v>
      </c>
      <c r="U30" s="8"/>
      <c r="V30" s="8" t="e">
        <f>SUM(V31:V33)</f>
        <v>#REF!</v>
      </c>
      <c r="W30" s="8"/>
      <c r="X30" s="8" t="e">
        <f>SUM(X31:X33)</f>
        <v>#REF!</v>
      </c>
      <c r="Y30" s="8"/>
      <c r="Z30" s="8" t="e">
        <f>SUM(Z31:Z33)</f>
        <v>#REF!</v>
      </c>
      <c r="AA30" s="8"/>
      <c r="AB30" s="8" t="e">
        <f>SUM(AB31:AB33)</f>
        <v>#REF!</v>
      </c>
      <c r="AC30" s="8"/>
      <c r="AD30" s="8" t="e">
        <f>SUM(AD31:AD33)</f>
        <v>#REF!</v>
      </c>
      <c r="AG30" s="7" t="s">
        <v>37</v>
      </c>
      <c r="AH30" s="8" t="e">
        <f>SUM(AH31:AH33)</f>
        <v>#REF!</v>
      </c>
      <c r="AI30" s="9"/>
      <c r="AJ30" s="8" t="e">
        <f>SUM(AJ31:AJ33)</f>
        <v>#REF!</v>
      </c>
      <c r="AK30" s="8"/>
      <c r="AL30" s="8" t="e">
        <f>SUM(AL31:AL33)</f>
        <v>#REF!</v>
      </c>
      <c r="AM30" s="8"/>
      <c r="AN30" s="8" t="e">
        <f>SUM(AN31:AN33)</f>
        <v>#REF!</v>
      </c>
      <c r="AO30" s="8"/>
      <c r="AP30" s="8" t="e">
        <f>SUM(AP31:AP33)</f>
        <v>#REF!</v>
      </c>
      <c r="AQ30" s="8"/>
      <c r="AR30" s="8" t="e">
        <f>SUM(AR31:AR33)</f>
        <v>#REF!</v>
      </c>
      <c r="AS30" s="8"/>
      <c r="AT30" s="8" t="e">
        <f>SUM(AT31:AT33)</f>
        <v>#REF!</v>
      </c>
      <c r="AW30" s="7" t="s">
        <v>37</v>
      </c>
      <c r="AX30" s="8" t="e">
        <f>SUM(AX31:AX33)</f>
        <v>#REF!</v>
      </c>
      <c r="AY30" s="9"/>
      <c r="AZ30" s="8" t="e">
        <f>SUM(AZ31:AZ33)</f>
        <v>#REF!</v>
      </c>
      <c r="BA30" s="8"/>
      <c r="BB30" s="63" t="e">
        <f>SUM(BB31:BB33)</f>
        <v>#REF!</v>
      </c>
      <c r="BC30" s="63"/>
      <c r="BD30" s="63" t="e">
        <f>SUM(BD31:BD33)</f>
        <v>#REF!</v>
      </c>
      <c r="BE30" s="8"/>
      <c r="BF30" s="8" t="e">
        <f>SUM(BF31:BF33)</f>
        <v>#REF!</v>
      </c>
      <c r="BG30" s="8"/>
      <c r="BH30" s="8" t="e">
        <f>SUM(BH31:BH33)</f>
        <v>#REF!</v>
      </c>
      <c r="BI30" s="8"/>
      <c r="BJ30" s="8" t="e">
        <f>SUM(AX30:BH30)</f>
        <v>#REF!</v>
      </c>
      <c r="BM30" s="7" t="s">
        <v>37</v>
      </c>
      <c r="BN30" s="8" t="e">
        <f>SUM(BN31:BN33)</f>
        <v>#REF!</v>
      </c>
      <c r="BO30" s="9"/>
      <c r="BP30" s="8" t="e">
        <f>SUM(BP31:BP33)</f>
        <v>#REF!</v>
      </c>
      <c r="BQ30" s="8"/>
      <c r="BR30" s="63" t="e">
        <f>SUM(BR31:BR33)</f>
        <v>#REF!</v>
      </c>
      <c r="BS30" s="8"/>
      <c r="BT30" s="63" t="e">
        <f>SUM(BT31:BT33)</f>
        <v>#REF!</v>
      </c>
      <c r="BU30" s="8"/>
      <c r="BV30" s="8" t="e">
        <f>SUM(BV31:BV33)</f>
        <v>#REF!</v>
      </c>
      <c r="BW30" s="8"/>
      <c r="BX30" s="8" t="e">
        <f>SUM(BX31:BX33)</f>
        <v>#REF!</v>
      </c>
      <c r="BY30" s="8"/>
      <c r="BZ30" s="8" t="e">
        <f>SUM(BN30:BX30)</f>
        <v>#REF!</v>
      </c>
      <c r="CC30" s="7" t="s">
        <v>37</v>
      </c>
      <c r="CD30" s="8" t="e">
        <f>SUM(CD31:CD33)</f>
        <v>#REF!</v>
      </c>
      <c r="CE30" s="9"/>
      <c r="CF30" s="8" t="e">
        <f>SUM(CF31:CF33)</f>
        <v>#REF!</v>
      </c>
      <c r="CG30" s="8"/>
      <c r="CH30" s="63" t="e">
        <f>SUM(CH31:CH33)</f>
        <v>#REF!</v>
      </c>
      <c r="CI30" s="63"/>
      <c r="CJ30" s="63" t="e">
        <f>SUM(CJ31:CJ33)</f>
        <v>#REF!</v>
      </c>
      <c r="CK30" s="8"/>
      <c r="CL30" s="8" t="e">
        <f>SUM(CL31:CL33)</f>
        <v>#REF!</v>
      </c>
      <c r="CM30" s="8"/>
      <c r="CN30" s="8" t="e">
        <f>SUM(CN31:CN33)</f>
        <v>#REF!</v>
      </c>
      <c r="CO30" s="8"/>
      <c r="CP30" s="8" t="e">
        <f>SUM(CD30:CN30)</f>
        <v>#REF!</v>
      </c>
      <c r="CS30" s="7" t="s">
        <v>37</v>
      </c>
      <c r="CT30" s="8" t="e">
        <f>SUM(CT31:CT33)</f>
        <v>#REF!</v>
      </c>
      <c r="CU30" s="9"/>
      <c r="CV30" s="8" t="e">
        <f>SUM(CV31:CV33)</f>
        <v>#REF!</v>
      </c>
      <c r="CW30" s="8"/>
      <c r="CX30" s="63" t="e">
        <f>SUM(CX31:CX33)</f>
        <v>#REF!</v>
      </c>
      <c r="CY30" s="63"/>
      <c r="CZ30" s="63" t="e">
        <f>SUM(CZ31:CZ33)</f>
        <v>#REF!</v>
      </c>
      <c r="DA30" s="8"/>
      <c r="DB30" s="8" t="e">
        <f>SUM(DB31:DB33)</f>
        <v>#REF!</v>
      </c>
      <c r="DC30" s="8"/>
      <c r="DD30" s="8" t="e">
        <f>SUM(DD31:DD33)</f>
        <v>#REF!</v>
      </c>
      <c r="DE30" s="8"/>
      <c r="DF30" s="8" t="e">
        <f>SUM(CT30:DD30)</f>
        <v>#REF!</v>
      </c>
      <c r="DI30" s="7" t="s">
        <v>37</v>
      </c>
      <c r="DJ30" s="8" t="e">
        <f>SUM(DJ31:DJ33)</f>
        <v>#REF!</v>
      </c>
      <c r="DK30" s="9"/>
      <c r="DL30" s="8" t="e">
        <f>SUM(DL31:DL33)</f>
        <v>#REF!</v>
      </c>
      <c r="DM30" s="8"/>
      <c r="DN30" s="63" t="e">
        <f>SUM(DN31:DN33)</f>
        <v>#REF!</v>
      </c>
      <c r="DO30" s="63"/>
      <c r="DP30" s="63" t="e">
        <f>SUM(DP31:DP33)</f>
        <v>#REF!</v>
      </c>
      <c r="DQ30" s="8"/>
      <c r="DR30" s="8" t="e">
        <f>SUM(DR31:DR33)</f>
        <v>#REF!</v>
      </c>
      <c r="DS30" s="8"/>
      <c r="DT30" s="8" t="e">
        <f>SUM(DT31:DT33)</f>
        <v>#REF!</v>
      </c>
      <c r="DU30" s="8"/>
      <c r="DV30" s="8" t="e">
        <f>SUM(DJ30:DT30)</f>
        <v>#REF!</v>
      </c>
      <c r="DY30" s="7" t="s">
        <v>37</v>
      </c>
      <c r="DZ30" s="8" t="e">
        <f>SUM(DZ31:DZ33)</f>
        <v>#REF!</v>
      </c>
      <c r="EA30" s="9"/>
      <c r="EB30" s="8" t="e">
        <f>SUM(EB31:EB33)</f>
        <v>#REF!</v>
      </c>
      <c r="EC30" s="8"/>
      <c r="ED30" s="63" t="e">
        <f>SUM(ED31:ED33)</f>
        <v>#REF!</v>
      </c>
      <c r="EE30" s="8"/>
      <c r="EF30" s="8" t="e">
        <f>SUM(EF31:EF33)</f>
        <v>#REF!</v>
      </c>
      <c r="EG30" s="8"/>
      <c r="EH30" s="8" t="e">
        <f>SUM(EH31:EH33)</f>
        <v>#REF!</v>
      </c>
      <c r="EI30" s="8"/>
      <c r="EJ30" s="8" t="e">
        <f>SUM(DZ30:EH30)</f>
        <v>#REF!</v>
      </c>
      <c r="EM30" s="7" t="s">
        <v>37</v>
      </c>
      <c r="EN30" s="8" t="e">
        <f>SUM(EN31:EN33)</f>
        <v>#REF!</v>
      </c>
      <c r="EO30" s="9"/>
      <c r="EP30" s="8" t="e">
        <f>SUM(EP31:EP33)</f>
        <v>#REF!</v>
      </c>
      <c r="EQ30" s="8"/>
      <c r="ER30" s="63" t="e">
        <f>SUM(ER31:ER33)</f>
        <v>#REF!</v>
      </c>
      <c r="ES30" s="8"/>
      <c r="ET30" s="8" t="e">
        <f>SUM(ET31:ET33)</f>
        <v>#REF!</v>
      </c>
      <c r="EU30" s="8"/>
      <c r="EV30" s="8" t="e">
        <f>SUM(EV31:EV33)</f>
        <v>#REF!</v>
      </c>
      <c r="EW30" s="8"/>
      <c r="EX30" s="8" t="e">
        <f>SUM(EN30:EV30)</f>
        <v>#REF!</v>
      </c>
      <c r="FA30" s="7" t="s">
        <v>37</v>
      </c>
      <c r="FB30" s="8" t="e">
        <f>SUM(FB31:FB33)</f>
        <v>#REF!</v>
      </c>
      <c r="FC30" s="9"/>
      <c r="FD30" s="8" t="e">
        <f>SUM(FD31:FD33)</f>
        <v>#REF!</v>
      </c>
      <c r="FE30" s="8"/>
      <c r="FF30" s="63" t="e">
        <f>SUM(FF31:FF33)</f>
        <v>#REF!</v>
      </c>
      <c r="FG30" s="8"/>
      <c r="FH30" s="8" t="e">
        <f>SUM(FH31:FH33)</f>
        <v>#REF!</v>
      </c>
      <c r="FI30" s="8"/>
      <c r="FJ30" s="8" t="e">
        <f>SUM(FJ31:FJ33)</f>
        <v>#REF!</v>
      </c>
      <c r="FK30" s="8"/>
      <c r="FL30" s="8" t="e">
        <f>SUM(FB30:FJ30)</f>
        <v>#REF!</v>
      </c>
      <c r="FO30" s="7" t="s">
        <v>37</v>
      </c>
      <c r="FP30" s="8" t="e">
        <f>SUM(FP31:FP33)</f>
        <v>#REF!</v>
      </c>
      <c r="FQ30" s="9"/>
      <c r="FR30" s="8" t="e">
        <f>SUM(FR31:FR33)</f>
        <v>#REF!</v>
      </c>
      <c r="FS30" s="8"/>
      <c r="FT30" s="63" t="e">
        <f>SUM(FT31:FT33)</f>
        <v>#REF!</v>
      </c>
      <c r="FU30" s="8"/>
      <c r="FV30" s="8" t="e">
        <f>SUM(FV31:FV33)</f>
        <v>#REF!</v>
      </c>
      <c r="FW30" s="8"/>
      <c r="FX30" s="8" t="e">
        <f>SUM(FX31:FX33)</f>
        <v>#REF!</v>
      </c>
      <c r="FY30" s="8"/>
      <c r="FZ30" s="8" t="e">
        <f>SUM(FP30:FX30)</f>
        <v>#REF!</v>
      </c>
      <c r="GC30" s="7" t="s">
        <v>37</v>
      </c>
      <c r="GD30" s="8" t="e">
        <f>SUM(GD31:GD33)</f>
        <v>#REF!</v>
      </c>
      <c r="GE30" s="9"/>
      <c r="GF30" s="8" t="e">
        <f>SUM(GF31:GF33)</f>
        <v>#REF!</v>
      </c>
      <c r="GG30" s="8"/>
      <c r="GH30" s="63" t="e">
        <f>SUM(GH31:GH33)</f>
        <v>#REF!</v>
      </c>
      <c r="GI30" s="8"/>
      <c r="GJ30" s="8" t="e">
        <f>SUM(GJ31:GJ33)</f>
        <v>#REF!</v>
      </c>
      <c r="GK30" s="8"/>
      <c r="GL30" s="8" t="e">
        <f>SUM(GL31:GL33)</f>
        <v>#REF!</v>
      </c>
      <c r="GM30" s="8"/>
      <c r="GN30" s="8" t="e">
        <f>SUM(GD30:GL30)</f>
        <v>#REF!</v>
      </c>
      <c r="GQ30" s="7" t="s">
        <v>37</v>
      </c>
      <c r="GR30" s="8" t="e">
        <f>SUM(GR31:GR33)</f>
        <v>#REF!</v>
      </c>
      <c r="GS30" s="9"/>
      <c r="GT30" s="8" t="e">
        <f>SUM(GT31:GT33)</f>
        <v>#REF!</v>
      </c>
      <c r="GU30" s="8"/>
      <c r="GV30" s="63" t="e">
        <f>SUM(GV31:GV33)</f>
        <v>#REF!</v>
      </c>
      <c r="GW30" s="8"/>
      <c r="GX30" s="8" t="e">
        <f>SUM(GX31:GX33)</f>
        <v>#REF!</v>
      </c>
      <c r="GY30" s="8"/>
      <c r="GZ30" s="8" t="e">
        <f>SUM(GZ31:GZ33)</f>
        <v>#REF!</v>
      </c>
      <c r="HA30" s="8"/>
      <c r="HB30" s="8" t="e">
        <f>SUM(GR30:GZ30)</f>
        <v>#REF!</v>
      </c>
      <c r="HE30" s="7" t="s">
        <v>37</v>
      </c>
      <c r="HF30" s="8" t="e">
        <f>SUM(HF31:HF33)</f>
        <v>#REF!</v>
      </c>
      <c r="HG30" s="9"/>
      <c r="HH30" s="8" t="e">
        <f>SUM(HH31:HH33)</f>
        <v>#REF!</v>
      </c>
      <c r="HI30" s="8"/>
      <c r="HJ30" s="63" t="e">
        <f>SUM(HJ31:HJ33)</f>
        <v>#REF!</v>
      </c>
      <c r="HK30" s="8"/>
      <c r="HL30" s="8" t="e">
        <f>SUM(HL31:HL33)</f>
        <v>#REF!</v>
      </c>
      <c r="HM30" s="8"/>
      <c r="HN30" s="8" t="e">
        <f>SUM(HN31:HN33)</f>
        <v>#REF!</v>
      </c>
      <c r="HO30" s="8"/>
      <c r="HP30" s="8" t="e">
        <f>SUM(HF30:HN30)</f>
        <v>#REF!</v>
      </c>
      <c r="HS30" s="7" t="s">
        <v>37</v>
      </c>
      <c r="HT30" s="8" t="e">
        <f>SUM(HT31:HT33)</f>
        <v>#REF!</v>
      </c>
      <c r="HU30" s="9"/>
      <c r="HV30" s="8" t="e">
        <f>SUM(HV31:HV33)</f>
        <v>#REF!</v>
      </c>
      <c r="HW30" s="8"/>
      <c r="HX30" s="63" t="e">
        <f>SUM(HX31:HX33)</f>
        <v>#REF!</v>
      </c>
      <c r="HY30" s="8"/>
      <c r="HZ30" s="8" t="e">
        <f>SUM(HZ31:HZ33)</f>
        <v>#REF!</v>
      </c>
      <c r="IA30" s="8"/>
      <c r="IB30" s="8" t="e">
        <f>SUM(IB31:IB33)</f>
        <v>#REF!</v>
      </c>
      <c r="IC30" s="8"/>
      <c r="ID30" s="8" t="e">
        <f>SUM(HT30:IB30)</f>
        <v>#REF!</v>
      </c>
      <c r="IG30" s="7" t="s">
        <v>37</v>
      </c>
      <c r="IH30" s="8" t="e">
        <f>SUM(IH31:IH33)</f>
        <v>#REF!</v>
      </c>
      <c r="II30" s="9"/>
      <c r="IJ30" s="8" t="e">
        <f>SUM(IJ31:IJ33)</f>
        <v>#REF!</v>
      </c>
      <c r="IK30" s="8"/>
      <c r="IL30" s="63" t="e">
        <f>SUM(IL31:IL33)</f>
        <v>#REF!</v>
      </c>
      <c r="IM30" s="8"/>
      <c r="IN30" s="8" t="e">
        <f>SUM(IN31:IN33)</f>
        <v>#REF!</v>
      </c>
      <c r="IO30" s="8"/>
      <c r="IP30" s="8" t="e">
        <f>SUM(IP31:IP33)</f>
        <v>#REF!</v>
      </c>
      <c r="IQ30" s="8"/>
      <c r="IR30" s="8" t="e">
        <f>SUM(IH30:IP30)</f>
        <v>#REF!</v>
      </c>
      <c r="IU30" s="7" t="s">
        <v>37</v>
      </c>
      <c r="IV30" s="8" t="e">
        <f>SUM(IV31:IV33)</f>
        <v>#REF!</v>
      </c>
      <c r="IW30" s="9"/>
      <c r="IX30" s="8" t="e">
        <f>SUM(IX31:IX33)</f>
        <v>#REF!</v>
      </c>
      <c r="IY30" s="8"/>
      <c r="IZ30" s="63" t="e">
        <f>SUM(IZ31:IZ33)</f>
        <v>#REF!</v>
      </c>
      <c r="JA30" s="8"/>
      <c r="JB30" s="8" t="e">
        <f>SUM(JB31:JB33)</f>
        <v>#REF!</v>
      </c>
      <c r="JC30" s="8"/>
      <c r="JD30" s="8" t="e">
        <f>SUM(JD31:JD33)</f>
        <v>#REF!</v>
      </c>
      <c r="JE30" s="8"/>
      <c r="JF30" s="8" t="e">
        <f>SUM(IV30:JD30)</f>
        <v>#REF!</v>
      </c>
      <c r="JI30" s="7" t="s">
        <v>37</v>
      </c>
      <c r="JJ30" s="8" t="e">
        <f>SUM(JJ31:JJ33)</f>
        <v>#REF!</v>
      </c>
      <c r="JK30" s="9"/>
      <c r="JL30" s="8" t="e">
        <f>SUM(JL31:JL33)</f>
        <v>#REF!</v>
      </c>
      <c r="JM30" s="8"/>
      <c r="JN30" s="63" t="e">
        <f>SUM(JN31:JN33)</f>
        <v>#REF!</v>
      </c>
      <c r="JO30" s="8"/>
      <c r="JP30" s="8" t="e">
        <f>SUM(JP31:JP33)</f>
        <v>#REF!</v>
      </c>
      <c r="JQ30" s="8"/>
      <c r="JR30" s="8" t="e">
        <f>SUM(JR31:JR33)</f>
        <v>#REF!</v>
      </c>
      <c r="JS30" s="8"/>
      <c r="JT30" s="8" t="e">
        <f>SUM(JJ30:JR30)</f>
        <v>#REF!</v>
      </c>
      <c r="JW30" s="7" t="s">
        <v>37</v>
      </c>
      <c r="JX30" s="8" t="e">
        <f>SUM(JX31:JX33)</f>
        <v>#REF!</v>
      </c>
      <c r="JY30" s="9"/>
      <c r="JZ30" s="8" t="e">
        <f>SUM(JZ31:JZ33)</f>
        <v>#REF!</v>
      </c>
      <c r="KA30" s="8"/>
      <c r="KB30" s="63" t="e">
        <f>SUM(KB31:KB33)</f>
        <v>#REF!</v>
      </c>
      <c r="KC30" s="8"/>
      <c r="KD30" s="8" t="e">
        <f>SUM(KD31:KD33)</f>
        <v>#REF!</v>
      </c>
      <c r="KE30" s="8"/>
      <c r="KF30" s="8" t="e">
        <f>SUM(KF31:KF33)</f>
        <v>#REF!</v>
      </c>
      <c r="KG30" s="8"/>
      <c r="KH30" s="8" t="e">
        <f>SUM(JX30:KF30)</f>
        <v>#REF!</v>
      </c>
      <c r="KK30" s="7" t="s">
        <v>37</v>
      </c>
      <c r="KL30" s="8" t="e">
        <f>SUM(KL31:KL33)</f>
        <v>#REF!</v>
      </c>
      <c r="KM30" s="9"/>
      <c r="KN30" s="8" t="e">
        <f>SUM(KN31:KN33)</f>
        <v>#REF!</v>
      </c>
      <c r="KO30" s="8"/>
      <c r="KP30" s="63" t="e">
        <f>SUM(KP31:KP33)</f>
        <v>#REF!</v>
      </c>
      <c r="KQ30" s="8"/>
      <c r="KR30" s="8" t="e">
        <f>SUM(KR31:KR33)</f>
        <v>#REF!</v>
      </c>
      <c r="KS30" s="8"/>
      <c r="KT30" s="8" t="e">
        <f>SUM(KT31:KT33)</f>
        <v>#REF!</v>
      </c>
      <c r="KU30" s="8"/>
      <c r="KV30" s="8" t="e">
        <f>SUM(KL30:KT30)</f>
        <v>#REF!</v>
      </c>
      <c r="KY30" s="7" t="s">
        <v>37</v>
      </c>
      <c r="KZ30" s="8" t="e">
        <f>SUM(KZ31:KZ33)</f>
        <v>#REF!</v>
      </c>
      <c r="LA30" s="9"/>
      <c r="LB30" s="8" t="e">
        <f>SUM(LB31:LB33)</f>
        <v>#REF!</v>
      </c>
      <c r="LC30" s="8"/>
      <c r="LD30" s="63" t="e">
        <f>SUM(LD31:LD33)</f>
        <v>#REF!</v>
      </c>
      <c r="LE30" s="8"/>
      <c r="LF30" s="8" t="e">
        <f>SUM(LF31:LF33)</f>
        <v>#REF!</v>
      </c>
      <c r="LG30" s="8"/>
      <c r="LH30" s="8" t="e">
        <f>SUM(LH31:LH33)</f>
        <v>#REF!</v>
      </c>
      <c r="LI30" s="8"/>
      <c r="LJ30" s="8" t="e">
        <f>SUM(KZ30:LH30)</f>
        <v>#REF!</v>
      </c>
      <c r="LM30" s="7" t="s">
        <v>37</v>
      </c>
      <c r="LN30" s="8" t="e">
        <f>SUM(LN31:LN33)</f>
        <v>#REF!</v>
      </c>
      <c r="LO30" s="9"/>
      <c r="LP30" s="8" t="e">
        <f>SUM(LP31:LP33)</f>
        <v>#REF!</v>
      </c>
      <c r="LQ30" s="8"/>
      <c r="LR30" s="54" t="e">
        <f>SUM(LR31:LR33)</f>
        <v>#REF!</v>
      </c>
      <c r="LS30" s="8"/>
      <c r="LT30" s="8" t="e">
        <f>SUM(LT31:LT33)</f>
        <v>#REF!</v>
      </c>
      <c r="LU30" s="8"/>
      <c r="LV30" s="8" t="e">
        <f>SUM(LV31:LV33)</f>
        <v>#REF!</v>
      </c>
      <c r="LW30" s="8"/>
      <c r="LX30" s="8" t="e">
        <f>SUM(LN30:LV30)</f>
        <v>#REF!</v>
      </c>
      <c r="LZ30" s="7" t="s">
        <v>37</v>
      </c>
      <c r="MA30" s="8" t="e">
        <f>SUM(MA31:MA33)</f>
        <v>#REF!</v>
      </c>
      <c r="MB30" s="9"/>
      <c r="MC30" s="8" t="e">
        <f>SUM(MC31:MC33)</f>
        <v>#REF!</v>
      </c>
      <c r="MD30" s="8"/>
      <c r="ME30" s="54" t="e">
        <f>SUM(ME31:ME33)</f>
        <v>#REF!</v>
      </c>
      <c r="MF30" s="63"/>
      <c r="MG30" s="8" t="e">
        <f>SUM(MG31:MG33)</f>
        <v>#REF!</v>
      </c>
      <c r="MH30" s="8"/>
      <c r="MI30" s="8" t="e">
        <f>SUM(MI31:MI33)</f>
        <v>#REF!</v>
      </c>
      <c r="MJ30" s="8"/>
      <c r="MK30" s="8" t="e">
        <f>SUM(MA30:MI30)</f>
        <v>#REF!</v>
      </c>
      <c r="ML30" s="8"/>
      <c r="MM30" s="7" t="s">
        <v>37</v>
      </c>
      <c r="MN30" s="8" t="e">
        <f>SUM(MN31:MN33)</f>
        <v>#REF!</v>
      </c>
      <c r="MO30" s="9"/>
      <c r="MP30" s="8" t="e">
        <f>SUM(MP31:MP33)</f>
        <v>#REF!</v>
      </c>
      <c r="MQ30" s="8"/>
      <c r="MR30" s="63" t="e">
        <f>SUM(MR31:MR33)</f>
        <v>#REF!</v>
      </c>
      <c r="MS30" s="8"/>
      <c r="MT30" s="8" t="e">
        <f>SUM(MT31:MT33)</f>
        <v>#REF!</v>
      </c>
      <c r="MU30" s="8"/>
      <c r="MV30" s="8" t="e">
        <f>SUM(MV31:MV33)</f>
        <v>#REF!</v>
      </c>
      <c r="MW30" s="8"/>
      <c r="MX30" s="8" t="e">
        <f>SUM(MN30:MV30)</f>
        <v>#REF!</v>
      </c>
      <c r="NA30" s="7" t="s">
        <v>37</v>
      </c>
      <c r="NB30" s="8" t="e">
        <f>SUM(NB31:NB33)</f>
        <v>#REF!</v>
      </c>
      <c r="NC30" s="9"/>
      <c r="ND30" s="8" t="e">
        <f>SUM(ND31:ND33)</f>
        <v>#REF!</v>
      </c>
      <c r="NE30" s="8"/>
      <c r="NF30" s="63" t="e">
        <f>SUM(NF31:NF33)</f>
        <v>#REF!</v>
      </c>
      <c r="NG30" s="8"/>
      <c r="NH30" s="8" t="e">
        <f>SUM(NH31:NH33)</f>
        <v>#REF!</v>
      </c>
      <c r="NI30" s="8"/>
      <c r="NJ30" s="8" t="e">
        <f>SUM(NJ31:NJ33)</f>
        <v>#REF!</v>
      </c>
      <c r="NK30" s="8"/>
      <c r="NL30" s="8" t="e">
        <f>SUM(NB30:NJ30)</f>
        <v>#REF!</v>
      </c>
      <c r="NO30" s="7" t="s">
        <v>37</v>
      </c>
      <c r="NP30" s="8" t="e">
        <f>SUM(NP31:NP33)</f>
        <v>#REF!</v>
      </c>
      <c r="NQ30" s="9"/>
      <c r="NR30" s="8" t="e">
        <f>SUM(NR31:NR33)</f>
        <v>#REF!</v>
      </c>
      <c r="NS30" s="8"/>
      <c r="NT30" s="54" t="e">
        <f>SUM(NT31:NT33)</f>
        <v>#REF!</v>
      </c>
      <c r="NU30" s="8"/>
      <c r="NV30" s="8" t="e">
        <f>SUM(NV31:NV33)</f>
        <v>#REF!</v>
      </c>
      <c r="NW30" s="8"/>
      <c r="NX30" s="8" t="e">
        <f>SUM(NX31:NX33)</f>
        <v>#REF!</v>
      </c>
      <c r="NY30" s="8"/>
      <c r="NZ30" s="8" t="e">
        <f>SUM(NP30:NX30)</f>
        <v>#REF!</v>
      </c>
      <c r="OB30" s="7" t="s">
        <v>37</v>
      </c>
      <c r="OC30" s="8" t="e">
        <f>SUM(OC31:OC33)</f>
        <v>#REF!</v>
      </c>
      <c r="OD30" s="9"/>
      <c r="OE30" s="8" t="e">
        <f>SUM(OE31:OE33)</f>
        <v>#REF!</v>
      </c>
      <c r="OF30" s="8"/>
      <c r="OG30" s="54" t="e">
        <f>SUM(OG31:OG33)</f>
        <v>#REF!</v>
      </c>
      <c r="OH30" s="63"/>
      <c r="OI30" s="8" t="e">
        <f>SUM(OI31:OI33)</f>
        <v>#REF!</v>
      </c>
      <c r="OJ30" s="8"/>
      <c r="OK30" s="8" t="e">
        <f>SUM(OK31:OK33)</f>
        <v>#REF!</v>
      </c>
      <c r="OL30" s="8"/>
      <c r="OM30" s="8" t="e">
        <f>SUM(OC30:OK30)</f>
        <v>#REF!</v>
      </c>
      <c r="OO30" s="7" t="s">
        <v>37</v>
      </c>
      <c r="OP30" s="44" t="e">
        <f>SUM(OP31:OP33)</f>
        <v>#REF!</v>
      </c>
      <c r="OQ30" s="45"/>
      <c r="OR30" s="44" t="e">
        <f>SUM(OR31:OR33)</f>
        <v>#REF!</v>
      </c>
      <c r="OS30" s="44"/>
      <c r="OT30" s="58" t="e">
        <f>SUM(OT31:OT33)</f>
        <v>#REF!</v>
      </c>
      <c r="OU30" s="44"/>
      <c r="OV30" s="44" t="e">
        <f>SUM(OV31:OV33)</f>
        <v>#REF!</v>
      </c>
      <c r="OW30" s="44"/>
      <c r="OX30" s="44" t="e">
        <f>SUM(OX31:OX33)</f>
        <v>#REF!</v>
      </c>
      <c r="OY30" s="44"/>
      <c r="OZ30" s="44" t="e">
        <f>SUM(OP30:OX30)</f>
        <v>#REF!</v>
      </c>
      <c r="PA30" s="7"/>
      <c r="PB30" s="7" t="s">
        <v>37</v>
      </c>
      <c r="PC30" s="8" t="e">
        <f>SUM(PC31:PC33)</f>
        <v>#REF!</v>
      </c>
      <c r="PD30" s="9"/>
      <c r="PE30" s="8" t="e">
        <f>SUM(PE31:PE33)</f>
        <v>#REF!</v>
      </c>
      <c r="PF30" s="8"/>
      <c r="PG30" s="40" t="e">
        <f>SUM(PG31:PG33)</f>
        <v>#REF!</v>
      </c>
      <c r="PH30" s="8">
        <f>SUM(PH31:PH33)</f>
        <v>0</v>
      </c>
      <c r="PI30" s="8" t="e">
        <f>SUM(PI31:PI33)</f>
        <v>#REF!</v>
      </c>
      <c r="PJ30" s="8"/>
      <c r="PK30" s="8" t="e">
        <f>SUM(PK31:PK33)</f>
        <v>#REF!</v>
      </c>
      <c r="PL30" s="8"/>
      <c r="PM30" s="8" t="e">
        <f>SUM(PC30:PK30)</f>
        <v>#REF!</v>
      </c>
      <c r="PN30" s="7"/>
      <c r="PO30" s="7" t="s">
        <v>37</v>
      </c>
      <c r="PP30" s="8" t="e">
        <f>SUM(PP31:PP33)</f>
        <v>#REF!</v>
      </c>
      <c r="PQ30" s="9"/>
      <c r="PR30" s="8" t="e">
        <f>SUM(PR31:PR33)</f>
        <v>#REF!</v>
      </c>
      <c r="PS30" s="8"/>
      <c r="PT30" s="40" t="e">
        <f>SUM(PT31:PT33)</f>
        <v>#REF!</v>
      </c>
      <c r="PU30" s="8">
        <f>SUM(PU31:PU33)</f>
        <v>0</v>
      </c>
      <c r="PV30" s="8" t="e">
        <f>SUM(PV31:PV33)</f>
        <v>#REF!</v>
      </c>
      <c r="PW30" s="8"/>
      <c r="PX30" s="8" t="e">
        <f>SUM(PX31:PX33)</f>
        <v>#REF!</v>
      </c>
      <c r="PY30" s="8"/>
      <c r="PZ30" s="8" t="e">
        <f>SUM(PP30:PX30)</f>
        <v>#REF!</v>
      </c>
      <c r="QA30" s="7"/>
      <c r="QB30" s="7" t="s">
        <v>37</v>
      </c>
      <c r="QC30" s="8" t="e">
        <f>SUM(QC31:QC33)</f>
        <v>#REF!</v>
      </c>
      <c r="QD30" s="9"/>
      <c r="QE30" s="8" t="e">
        <f>SUM(QE31:QE33)</f>
        <v>#REF!</v>
      </c>
      <c r="QF30" s="8"/>
      <c r="QG30" s="40">
        <f>SUM(QG31:QG33)</f>
        <v>0</v>
      </c>
      <c r="QH30" s="8">
        <f>SUM(QH31:QH33)</f>
        <v>0</v>
      </c>
      <c r="QI30" s="8" t="e">
        <f>SUM(QI31:QI33)</f>
        <v>#REF!</v>
      </c>
      <c r="QJ30" s="8"/>
      <c r="QK30" s="8" t="e">
        <f>SUM(QK31:QK33)</f>
        <v>#REF!</v>
      </c>
      <c r="QL30" s="8"/>
      <c r="QM30" s="8" t="e">
        <f>SUM(QC30:QK30)</f>
        <v>#REF!</v>
      </c>
      <c r="QN30" s="7"/>
      <c r="QO30" s="7" t="s">
        <v>37</v>
      </c>
      <c r="QP30" s="8" t="e">
        <f>SUM(QP31:QP33)</f>
        <v>#REF!</v>
      </c>
      <c r="QQ30" s="9"/>
      <c r="QR30" s="8" t="e">
        <f>SUM(QR31:QR33)</f>
        <v>#REF!</v>
      </c>
      <c r="QS30" s="8"/>
      <c r="QT30" s="8" t="e">
        <f>SUM(QT31:QT33)</f>
        <v>#REF!</v>
      </c>
      <c r="QU30" s="8"/>
      <c r="QV30" s="8" t="e">
        <f>SUM(QV31:QV33)</f>
        <v>#REF!</v>
      </c>
      <c r="QW30" s="8"/>
      <c r="QX30" s="8" t="e">
        <f>SUM(QX31:QX33)</f>
        <v>#REF!</v>
      </c>
      <c r="QY30" s="8"/>
      <c r="QZ30" s="8" t="e">
        <f>SUM(QP30:QX30)</f>
        <v>#REF!</v>
      </c>
      <c r="RA30" s="7"/>
      <c r="RB30" s="7" t="s">
        <v>37</v>
      </c>
      <c r="RC30" s="8" t="e">
        <f>SUM(RC31:RC33)</f>
        <v>#REF!</v>
      </c>
      <c r="RD30" s="9"/>
      <c r="RE30" s="8" t="e">
        <f>SUM(RE31:RE33)</f>
        <v>#REF!</v>
      </c>
      <c r="RF30" s="8"/>
      <c r="RG30" s="8" t="e">
        <f>SUM(RG31:RG33)</f>
        <v>#REF!</v>
      </c>
      <c r="RH30" s="8">
        <f>SUM(RH31:RH33)</f>
        <v>0</v>
      </c>
      <c r="RI30" s="8" t="e">
        <f>SUM(RI31:RI33)</f>
        <v>#REF!</v>
      </c>
      <c r="RJ30" s="8"/>
      <c r="RK30" s="8" t="e">
        <f>SUM(RK31:RK33)</f>
        <v>#REF!</v>
      </c>
      <c r="RL30" s="8"/>
      <c r="RM30" s="8" t="e">
        <f>SUM(RC30:RK30)</f>
        <v>#REF!</v>
      </c>
      <c r="RN30" s="7"/>
      <c r="RO30" s="7" t="s">
        <v>37</v>
      </c>
      <c r="RP30" s="8" t="e">
        <f>SUM(RP31:RP33)</f>
        <v>#REF!</v>
      </c>
      <c r="RQ30" s="9"/>
      <c r="RR30" s="8" t="e">
        <f>SUM(RR31:RR33)</f>
        <v>#REF!</v>
      </c>
      <c r="RS30" s="8"/>
      <c r="RT30" s="8" t="e">
        <f>SUM(RT31:RT33)</f>
        <v>#REF!</v>
      </c>
      <c r="RU30" s="8">
        <f>SUM(RU31:RU33)</f>
        <v>0</v>
      </c>
      <c r="RV30" s="8" t="e">
        <f>SUM(RV31:RV33)</f>
        <v>#REF!</v>
      </c>
      <c r="RW30" s="8"/>
      <c r="RX30" s="8" t="e">
        <f>SUM(RX31:RX33)</f>
        <v>#REF!</v>
      </c>
      <c r="RY30" s="8"/>
      <c r="RZ30" s="8" t="e">
        <f>SUM(RP30:RX30)</f>
        <v>#REF!</v>
      </c>
      <c r="SA30" s="7"/>
      <c r="SB30" s="7" t="s">
        <v>37</v>
      </c>
      <c r="SC30" s="8" t="e">
        <f>SUM(SC31:SC33)</f>
        <v>#REF!</v>
      </c>
      <c r="SD30" s="9"/>
      <c r="SE30" s="8" t="e">
        <f>SUM(SE31:SE33)</f>
        <v>#REF!</v>
      </c>
      <c r="SF30" s="8"/>
      <c r="SG30" s="8" t="e">
        <f>SUM(SG31:SG33)</f>
        <v>#REF!</v>
      </c>
      <c r="SH30" s="8">
        <f>SUM(SH31:SH33)</f>
        <v>0</v>
      </c>
      <c r="SI30" s="8" t="e">
        <f>SUM(SI31:SI33)</f>
        <v>#REF!</v>
      </c>
      <c r="SJ30" s="8"/>
      <c r="SK30" s="8" t="e">
        <f>SUM(SK31:SK33)</f>
        <v>#REF!</v>
      </c>
      <c r="SL30" s="8"/>
      <c r="SM30" s="8" t="e">
        <f>SUM(SC30:SK30)</f>
        <v>#REF!</v>
      </c>
      <c r="SN30" s="7"/>
      <c r="SO30" s="7" t="s">
        <v>37</v>
      </c>
      <c r="SP30" s="8" t="e">
        <f>SUM(SP31:SP33)</f>
        <v>#REF!</v>
      </c>
      <c r="SQ30" s="9"/>
      <c r="SR30" s="8" t="e">
        <f>SUM(SR31:SR33)</f>
        <v>#REF!</v>
      </c>
      <c r="SS30" s="8"/>
      <c r="ST30" s="8" t="e">
        <f>SUM(ST31:ST33)</f>
        <v>#REF!</v>
      </c>
      <c r="SU30" s="8">
        <f>SUM(SU31:SU33)</f>
        <v>0</v>
      </c>
      <c r="SV30" s="8" t="e">
        <f>SUM(SV31:SV33)</f>
        <v>#REF!</v>
      </c>
      <c r="SW30" s="8"/>
      <c r="SX30" s="8" t="e">
        <f>SUM(SX31:SX33)</f>
        <v>#REF!</v>
      </c>
      <c r="SY30" s="8"/>
      <c r="SZ30" s="8" t="e">
        <f>SUM(SP30:SX30)</f>
        <v>#REF!</v>
      </c>
      <c r="TA30" s="7"/>
      <c r="TB30" s="7" t="s">
        <v>37</v>
      </c>
      <c r="TC30" s="8" t="e">
        <f>SUM(TC31:TC33)</f>
        <v>#REF!</v>
      </c>
      <c r="TD30" s="9"/>
      <c r="TE30" s="8" t="e">
        <f>SUM(TE31:TE33)</f>
        <v>#REF!</v>
      </c>
      <c r="TF30" s="8"/>
      <c r="TG30" s="8" t="e">
        <f>SUM(TG31:TG33)</f>
        <v>#REF!</v>
      </c>
      <c r="TH30" s="8">
        <f>SUM(TH31:TH33)</f>
        <v>0</v>
      </c>
      <c r="TI30" s="8" t="e">
        <f>SUM(TI31:TI33)</f>
        <v>#REF!</v>
      </c>
      <c r="TJ30" s="8"/>
      <c r="TK30" s="8" t="e">
        <f>SUM(TK31:TK33)</f>
        <v>#REF!</v>
      </c>
      <c r="TL30" s="8"/>
      <c r="TM30" s="8" t="e">
        <f>SUM(TC30:TK30)</f>
        <v>#REF!</v>
      </c>
      <c r="TN30" s="7"/>
      <c r="TO30" s="7" t="s">
        <v>37</v>
      </c>
      <c r="TP30" s="8" t="e">
        <f>SUM(TP31:TP33)</f>
        <v>#REF!</v>
      </c>
      <c r="TQ30" s="9"/>
      <c r="TR30" s="8" t="e">
        <f>SUM(TR31:TR33)</f>
        <v>#REF!</v>
      </c>
      <c r="TS30" s="8"/>
      <c r="TT30" s="8" t="e">
        <f>SUM(TT31:TT33)</f>
        <v>#REF!</v>
      </c>
      <c r="TU30" s="8">
        <f>SUM(TU31:TU33)</f>
        <v>0</v>
      </c>
      <c r="TV30" s="8" t="e">
        <f>SUM(TV31:TV33)</f>
        <v>#REF!</v>
      </c>
      <c r="TW30" s="8"/>
      <c r="TX30" s="8" t="e">
        <f>SUM(TX31:TX33)</f>
        <v>#REF!</v>
      </c>
      <c r="TY30" s="8"/>
      <c r="TZ30" s="8" t="e">
        <f>SUM(TP30:TX30)</f>
        <v>#REF!</v>
      </c>
      <c r="UA30" s="7"/>
      <c r="UB30" s="7" t="s">
        <v>37</v>
      </c>
      <c r="UC30" s="8" t="e">
        <f>SUM(UC31:UC33)</f>
        <v>#REF!</v>
      </c>
      <c r="UD30" s="9"/>
      <c r="UE30" s="8" t="e">
        <f>SUM(UE31:UE33)</f>
        <v>#REF!</v>
      </c>
      <c r="UF30" s="8"/>
      <c r="UG30" s="8" t="e">
        <f>SUM(UG31:UG33)</f>
        <v>#REF!</v>
      </c>
      <c r="UH30" s="8">
        <f>SUM(UH31:UH33)</f>
        <v>0</v>
      </c>
      <c r="UI30" s="8" t="e">
        <f>SUM(UI31:UI33)</f>
        <v>#REF!</v>
      </c>
      <c r="UJ30" s="8"/>
      <c r="UK30" s="8" t="e">
        <f>SUM(UK31:UK33)</f>
        <v>#REF!</v>
      </c>
      <c r="UL30" s="8"/>
      <c r="UM30" s="8" t="e">
        <f>SUM(UC30:UK30)</f>
        <v>#REF!</v>
      </c>
      <c r="UN30" s="7"/>
      <c r="UO30" s="7" t="s">
        <v>37</v>
      </c>
      <c r="UP30" s="8" t="e">
        <f>SUM(UP31:UP33)</f>
        <v>#REF!</v>
      </c>
      <c r="UQ30" s="9"/>
      <c r="UR30" s="8" t="e">
        <f>SUM(UR31:UR33)</f>
        <v>#REF!</v>
      </c>
      <c r="US30" s="8"/>
      <c r="UT30" s="8" t="e">
        <f>SUM(UT31:UT33)</f>
        <v>#REF!</v>
      </c>
      <c r="UU30" s="8">
        <f>SUM(UU31:UU33)</f>
        <v>0</v>
      </c>
      <c r="UV30" s="8" t="e">
        <f>SUM(UV31:UV33)</f>
        <v>#REF!</v>
      </c>
      <c r="UW30" s="8"/>
      <c r="UX30" s="8" t="e">
        <f>SUM(UX31:UX33)</f>
        <v>#REF!</v>
      </c>
      <c r="UY30" s="8"/>
      <c r="UZ30" s="8" t="e">
        <f>SUM(UP30:UX30)</f>
        <v>#REF!</v>
      </c>
      <c r="VA30" s="7"/>
      <c r="VB30" s="7" t="s">
        <v>37</v>
      </c>
      <c r="VC30" s="8" t="e">
        <f>SUM(VC31:VC33)</f>
        <v>#REF!</v>
      </c>
      <c r="VD30" s="9"/>
      <c r="VE30" s="8" t="e">
        <f>SUM(VE31:VE33)</f>
        <v>#REF!</v>
      </c>
      <c r="VF30" s="8"/>
      <c r="VG30" s="8" t="e">
        <f>SUM(VG31:VG33)</f>
        <v>#REF!</v>
      </c>
      <c r="VH30" s="8">
        <f>SUM(VH31:VH33)</f>
        <v>0</v>
      </c>
      <c r="VI30" s="8" t="e">
        <f>SUM(VI31:VI33)</f>
        <v>#REF!</v>
      </c>
      <c r="VJ30" s="8"/>
      <c r="VK30" s="8" t="e">
        <f>SUM(VK31:VK33)</f>
        <v>#REF!</v>
      </c>
      <c r="VL30" s="8"/>
      <c r="VM30" s="8" t="e">
        <f>SUM(VC30:VK30)</f>
        <v>#REF!</v>
      </c>
      <c r="VN30" s="7"/>
      <c r="VO30" s="7" t="s">
        <v>37</v>
      </c>
      <c r="VP30" s="8" t="e">
        <f>SUM(VP31:VP33)</f>
        <v>#REF!</v>
      </c>
      <c r="VQ30" s="9"/>
      <c r="VR30" s="8" t="e">
        <f>SUM(VR31:VR33)</f>
        <v>#REF!</v>
      </c>
      <c r="VS30" s="8"/>
      <c r="VT30" s="8" t="e">
        <f>SUM(VT31:VT33)</f>
        <v>#REF!</v>
      </c>
      <c r="VU30" s="8">
        <f>SUM(VU31:VU33)</f>
        <v>0</v>
      </c>
      <c r="VV30" s="8" t="e">
        <f>SUM(VV31:VV33)</f>
        <v>#REF!</v>
      </c>
      <c r="VW30" s="8"/>
      <c r="VX30" s="8" t="e">
        <f>SUM(VX31:VX33)</f>
        <v>#REF!</v>
      </c>
      <c r="VY30" s="8"/>
      <c r="VZ30" s="8" t="e">
        <f>SUM(VP30:VX30)</f>
        <v>#REF!</v>
      </c>
      <c r="WA30" s="7"/>
      <c r="WB30" s="7" t="s">
        <v>37</v>
      </c>
      <c r="WC30" s="8" t="e">
        <f>SUM(WC31:WC33)</f>
        <v>#REF!</v>
      </c>
      <c r="WD30" s="9"/>
      <c r="WE30" s="8" t="e">
        <f>SUM(WE31:WE33)</f>
        <v>#REF!</v>
      </c>
      <c r="WF30" s="8"/>
      <c r="WG30" s="8" t="e">
        <f>SUM(WG31:WG33)</f>
        <v>#REF!</v>
      </c>
      <c r="WH30" s="8">
        <f>SUM(WH31:WH33)</f>
        <v>0</v>
      </c>
      <c r="WI30" s="8" t="e">
        <f>SUM(WI31:WI33)</f>
        <v>#REF!</v>
      </c>
      <c r="WJ30" s="8"/>
      <c r="WK30" s="8" t="e">
        <f>SUM(WK31:WK33)</f>
        <v>#REF!</v>
      </c>
      <c r="WL30" s="8"/>
      <c r="WM30" s="8" t="e">
        <f>SUM(WC30:WK30)</f>
        <v>#REF!</v>
      </c>
      <c r="WN30" s="7"/>
      <c r="WO30" s="7" t="s">
        <v>37</v>
      </c>
      <c r="WP30" s="8" t="e">
        <f>SUM(WP31:WP33)</f>
        <v>#REF!</v>
      </c>
      <c r="WQ30" s="9"/>
      <c r="WR30" s="8" t="e">
        <f>SUM(WR31:WR33)</f>
        <v>#REF!</v>
      </c>
      <c r="WS30" s="8"/>
      <c r="WT30" s="8" t="e">
        <f>SUM(WT31:WT33)</f>
        <v>#REF!</v>
      </c>
      <c r="WU30" s="8">
        <f>SUM(WU31:WU33)</f>
        <v>0</v>
      </c>
      <c r="WV30" s="8" t="e">
        <f>SUM(WV31:WV33)</f>
        <v>#REF!</v>
      </c>
      <c r="WW30" s="8"/>
      <c r="WX30" s="8" t="e">
        <f>SUM(WX31:WX33)</f>
        <v>#REF!</v>
      </c>
      <c r="WY30" s="8"/>
      <c r="WZ30" s="8" t="e">
        <f>SUM(WP30:WX30)</f>
        <v>#REF!</v>
      </c>
      <c r="XA30" s="7"/>
      <c r="XB30" s="7" t="s">
        <v>37</v>
      </c>
      <c r="XC30" s="8" t="e">
        <f>SUM(XC31:XC33)</f>
        <v>#REF!</v>
      </c>
      <c r="XD30" s="9"/>
      <c r="XE30" s="8" t="e">
        <f>SUM(XE31:XE33)</f>
        <v>#REF!</v>
      </c>
      <c r="XF30" s="8"/>
      <c r="XG30" s="8" t="e">
        <f>SUM(XG31:XG33)</f>
        <v>#REF!</v>
      </c>
      <c r="XH30" s="8">
        <f>SUM(XH31:XH33)</f>
        <v>0</v>
      </c>
      <c r="XI30" s="8" t="e">
        <f>SUM(XI31:XI33)</f>
        <v>#REF!</v>
      </c>
      <c r="XJ30" s="8"/>
      <c r="XK30" s="8" t="e">
        <f>SUM(XK31:XK33)</f>
        <v>#REF!</v>
      </c>
      <c r="XL30" s="8"/>
      <c r="XM30" s="8" t="e">
        <f>SUM(XC30:XK30)</f>
        <v>#REF!</v>
      </c>
      <c r="XN30" s="7"/>
      <c r="XO30" s="7" t="s">
        <v>37</v>
      </c>
      <c r="XP30" s="8" t="e">
        <f>SUM(XP31:XP33)</f>
        <v>#REF!</v>
      </c>
      <c r="XQ30" s="9"/>
      <c r="XR30" s="8" t="e">
        <f>SUM(XR31:XR33)</f>
        <v>#REF!</v>
      </c>
      <c r="XS30" s="8"/>
      <c r="XT30" s="8" t="e">
        <f>SUM(XT31:XT33)</f>
        <v>#REF!</v>
      </c>
      <c r="XU30" s="8">
        <f>SUM(XU31:XU33)</f>
        <v>0</v>
      </c>
      <c r="XV30" s="8" t="e">
        <f>SUM(XV31:XV33)</f>
        <v>#REF!</v>
      </c>
      <c r="XW30" s="8"/>
      <c r="XX30" s="8" t="e">
        <f>SUM(XX31:XX33)</f>
        <v>#REF!</v>
      </c>
      <c r="XY30" s="8"/>
      <c r="XZ30" s="8" t="e">
        <f>SUM(XP30:XX30)</f>
        <v>#REF!</v>
      </c>
      <c r="YB30" s="7" t="s">
        <v>37</v>
      </c>
      <c r="YC30" s="8" t="e">
        <f>SUM(YC31:YC33)</f>
        <v>#REF!</v>
      </c>
      <c r="YD30" s="9"/>
      <c r="YE30" s="8" t="e">
        <f>SUM(YE31:YE33)</f>
        <v>#REF!</v>
      </c>
      <c r="YF30" s="8"/>
      <c r="YG30" s="8" t="e">
        <f>SUM(YG31:YG33)</f>
        <v>#REF!</v>
      </c>
      <c r="YH30" s="8">
        <f>SUM(YH31:YH33)</f>
        <v>0</v>
      </c>
      <c r="YI30" s="8" t="e">
        <f>SUM(YI31:YI33)</f>
        <v>#REF!</v>
      </c>
      <c r="YJ30" s="8"/>
      <c r="YK30" s="8" t="e">
        <f>SUM(YK31:YK33)</f>
        <v>#REF!</v>
      </c>
      <c r="YL30" s="8"/>
      <c r="YM30" s="8" t="e">
        <f>SUM(YC30:YK30)</f>
        <v>#REF!</v>
      </c>
      <c r="YN30" s="7"/>
      <c r="YO30" s="7"/>
      <c r="YP30" s="8"/>
      <c r="YQ30" s="9"/>
      <c r="YR30" s="8"/>
      <c r="YS30" s="8"/>
      <c r="YT30" s="8"/>
      <c r="YU30" s="8"/>
      <c r="YV30" s="8"/>
      <c r="YW30" s="8"/>
      <c r="YX30" s="8"/>
      <c r="YY30" s="8"/>
      <c r="YZ30" s="8"/>
    </row>
    <row r="31" spans="1:676">
      <c r="A31" s="10" t="s">
        <v>38</v>
      </c>
      <c r="B31" s="2" t="e">
        <f>#REF!-#REF!</f>
        <v>#REF!</v>
      </c>
      <c r="C31" s="11"/>
      <c r="D31" s="2" t="e">
        <f>#REF!-#REF!</f>
        <v>#REF!</v>
      </c>
      <c r="F31" s="2" t="e">
        <f>#REF!-#REF!</f>
        <v>#REF!</v>
      </c>
      <c r="H31" s="2" t="e">
        <f t="shared" ref="H31:H33" si="53">F31</f>
        <v>#REF!</v>
      </c>
      <c r="J31" s="2" t="e">
        <f>#REF!-#REF!</f>
        <v>#REF!</v>
      </c>
      <c r="L31" s="2" t="e">
        <f>#REF!-#REF!</f>
        <v>#REF!</v>
      </c>
      <c r="N31" s="2" t="e">
        <f>SUM(B31:L31)</f>
        <v>#REF!</v>
      </c>
      <c r="Q31" s="10" t="s">
        <v>38</v>
      </c>
      <c r="R31" s="2" t="e">
        <f>#REF!-#REF!</f>
        <v>#REF!</v>
      </c>
      <c r="S31" s="11"/>
      <c r="T31" s="2" t="e">
        <f>#REF!-#REF!</f>
        <v>#REF!</v>
      </c>
      <c r="V31" s="2" t="e">
        <f>#REF!-#REF!</f>
        <v>#REF!</v>
      </c>
      <c r="W31" s="2"/>
      <c r="X31" s="2" t="e">
        <f t="shared" ref="X31:X33" si="54">V31</f>
        <v>#REF!</v>
      </c>
      <c r="Z31" s="2" t="e">
        <f>#REF!-#REF!</f>
        <v>#REF!</v>
      </c>
      <c r="AB31" s="2" t="e">
        <f>#REF!-#REF!</f>
        <v>#REF!</v>
      </c>
      <c r="AD31" s="48" t="e">
        <f>SUM(R31:AB31)</f>
        <v>#REF!</v>
      </c>
      <c r="AG31" s="10" t="s">
        <v>38</v>
      </c>
      <c r="AH31" s="2" t="e">
        <f>#REF!-#REF!</f>
        <v>#REF!</v>
      </c>
      <c r="AI31" s="11"/>
      <c r="AJ31" s="2" t="e">
        <f>#REF!-#REF!</f>
        <v>#REF!</v>
      </c>
      <c r="AL31" s="2" t="e">
        <f>#REF!-#REF!</f>
        <v>#REF!</v>
      </c>
      <c r="AM31" s="2"/>
      <c r="AN31" s="2" t="e">
        <f>#REF!-#REF!</f>
        <v>#REF!</v>
      </c>
      <c r="AP31" s="2" t="e">
        <f>#REF!-#REF!</f>
        <v>#REF!</v>
      </c>
      <c r="AR31" s="2" t="e">
        <f>#REF!-#REF!</f>
        <v>#REF!</v>
      </c>
      <c r="AT31" s="48" t="e">
        <f>SUM(AH31:AR31)</f>
        <v>#REF!</v>
      </c>
      <c r="AW31" s="10" t="s">
        <v>38</v>
      </c>
      <c r="AX31" s="2" t="e">
        <f>#REF!</f>
        <v>#REF!</v>
      </c>
      <c r="AY31" s="11"/>
      <c r="AZ31" s="2" t="e">
        <f>#REF!</f>
        <v>#REF!</v>
      </c>
      <c r="BB31" s="2" t="e">
        <f>#REF!</f>
        <v>#REF!</v>
      </c>
      <c r="BC31" s="2"/>
      <c r="BD31" s="2" t="e">
        <f>#REF!</f>
        <v>#REF!</v>
      </c>
      <c r="BF31" s="2" t="e">
        <f>#REF!</f>
        <v>#REF!</v>
      </c>
      <c r="BH31" s="2" t="e">
        <f>#REF!</f>
        <v>#REF!</v>
      </c>
      <c r="BJ31" s="2" t="e">
        <f>SUM(AX31:BH31)</f>
        <v>#REF!</v>
      </c>
      <c r="BM31" s="10" t="s">
        <v>38</v>
      </c>
      <c r="BN31" s="2" t="e">
        <f>#REF!-#REF!</f>
        <v>#REF!</v>
      </c>
      <c r="BO31" s="11"/>
      <c r="BP31" s="2" t="e">
        <f>#REF!-#REF!</f>
        <v>#REF!</v>
      </c>
      <c r="BR31" s="2" t="e">
        <f>#REF!-#REF!</f>
        <v>#REF!</v>
      </c>
      <c r="BT31" s="2" t="e">
        <f>#REF!-#REF!</f>
        <v>#REF!</v>
      </c>
      <c r="BV31" s="2" t="e">
        <f>#REF!-#REF!</f>
        <v>#REF!</v>
      </c>
      <c r="BX31" s="2" t="e">
        <f>#REF!-#REF!</f>
        <v>#REF!</v>
      </c>
      <c r="BZ31" s="2" t="e">
        <f>SUM(BN31:BX31)</f>
        <v>#REF!</v>
      </c>
      <c r="CC31" s="10" t="s">
        <v>38</v>
      </c>
      <c r="CD31" s="2" t="e">
        <f>#REF!-#REF!</f>
        <v>#REF!</v>
      </c>
      <c r="CE31" s="11"/>
      <c r="CF31" s="2" t="e">
        <f>#REF!-#REF!</f>
        <v>#REF!</v>
      </c>
      <c r="CH31" s="2" t="e">
        <f>#REF!-#REF!</f>
        <v>#REF!</v>
      </c>
      <c r="CI31" s="2"/>
      <c r="CJ31" s="2" t="e">
        <f>#REF!-#REF!</f>
        <v>#REF!</v>
      </c>
      <c r="CL31" s="2" t="e">
        <f>#REF!-#REF!</f>
        <v>#REF!</v>
      </c>
      <c r="CN31" s="2" t="e">
        <f>#REF!-#REF!</f>
        <v>#REF!</v>
      </c>
      <c r="CP31" s="2" t="e">
        <f>SUM(CD31:CN31)</f>
        <v>#REF!</v>
      </c>
      <c r="CS31" s="10" t="s">
        <v>38</v>
      </c>
      <c r="CT31" s="2" t="e">
        <f>#REF!-#REF!</f>
        <v>#REF!</v>
      </c>
      <c r="CU31" s="11"/>
      <c r="CV31" s="2" t="e">
        <f>#REF!-#REF!</f>
        <v>#REF!</v>
      </c>
      <c r="CX31" s="2" t="e">
        <f>#REF!-#REF!</f>
        <v>#REF!</v>
      </c>
      <c r="CY31" s="2"/>
      <c r="CZ31" s="2" t="e">
        <f>#REF!-#REF!</f>
        <v>#REF!</v>
      </c>
      <c r="DB31" s="2" t="e">
        <f>#REF!-#REF!</f>
        <v>#REF!</v>
      </c>
      <c r="DD31" s="2" t="e">
        <f>#REF!-#REF!</f>
        <v>#REF!</v>
      </c>
      <c r="DF31" s="2" t="e">
        <f>SUM(CT31:DD31)</f>
        <v>#REF!</v>
      </c>
      <c r="DI31" s="10" t="s">
        <v>38</v>
      </c>
      <c r="DJ31" s="2" t="e">
        <f>#REF!</f>
        <v>#REF!</v>
      </c>
      <c r="DK31" s="11"/>
      <c r="DL31" s="2" t="e">
        <f>#REF!</f>
        <v>#REF!</v>
      </c>
      <c r="DN31" s="2" t="e">
        <f>#REF!</f>
        <v>#REF!</v>
      </c>
      <c r="DO31" s="2"/>
      <c r="DP31" s="2" t="e">
        <f>#REF!</f>
        <v>#REF!</v>
      </c>
      <c r="DR31" s="2" t="e">
        <f>#REF!</f>
        <v>#REF!</v>
      </c>
      <c r="DT31" s="2" t="e">
        <f>#REF!</f>
        <v>#REF!</v>
      </c>
      <c r="DV31" s="2" t="e">
        <f>SUM(DJ31:DT31)</f>
        <v>#REF!</v>
      </c>
      <c r="DY31" s="10" t="s">
        <v>38</v>
      </c>
      <c r="DZ31" s="2" t="e">
        <f>#REF!-#REF!</f>
        <v>#REF!</v>
      </c>
      <c r="EA31" s="11"/>
      <c r="EB31" s="2" t="e">
        <f>#REF!-#REF!</f>
        <v>#REF!</v>
      </c>
      <c r="ED31" s="2" t="e">
        <f>#REF!-#REF!</f>
        <v>#REF!</v>
      </c>
      <c r="EF31" s="2" t="e">
        <f>#REF!-#REF!</f>
        <v>#REF!</v>
      </c>
      <c r="EH31" s="2" t="e">
        <f>#REF!-#REF!</f>
        <v>#REF!</v>
      </c>
      <c r="EJ31" s="2" t="e">
        <f>SUM(DZ31:EH31)</f>
        <v>#REF!</v>
      </c>
      <c r="EM31" s="10" t="s">
        <v>38</v>
      </c>
      <c r="EN31" s="2" t="e">
        <f>#REF!-#REF!</f>
        <v>#REF!</v>
      </c>
      <c r="EO31" s="11"/>
      <c r="EP31" s="2" t="e">
        <f>#REF!-#REF!</f>
        <v>#REF!</v>
      </c>
      <c r="ER31" s="2" t="e">
        <f>#REF!-#REF!</f>
        <v>#REF!</v>
      </c>
      <c r="ET31" s="2" t="e">
        <f>#REF!-#REF!</f>
        <v>#REF!</v>
      </c>
      <c r="EV31" s="2" t="e">
        <f>#REF!-#REF!</f>
        <v>#REF!</v>
      </c>
      <c r="EX31" s="2" t="e">
        <f>SUM(EN31:EV31)</f>
        <v>#REF!</v>
      </c>
      <c r="FA31" s="10" t="s">
        <v>38</v>
      </c>
      <c r="FB31" s="2" t="e">
        <f>#REF!-#REF!</f>
        <v>#REF!</v>
      </c>
      <c r="FC31" s="11"/>
      <c r="FD31" s="2" t="e">
        <f>#REF!-#REF!</f>
        <v>#REF!</v>
      </c>
      <c r="FF31" s="2" t="e">
        <f>#REF!-#REF!</f>
        <v>#REF!</v>
      </c>
      <c r="FH31" s="2" t="e">
        <f>#REF!-#REF!</f>
        <v>#REF!</v>
      </c>
      <c r="FJ31" s="2" t="e">
        <f>#REF!-#REF!</f>
        <v>#REF!</v>
      </c>
      <c r="FL31" s="2" t="e">
        <f>SUM(FB31:FJ31)</f>
        <v>#REF!</v>
      </c>
      <c r="FO31" s="10" t="s">
        <v>38</v>
      </c>
      <c r="FP31" s="2" t="e">
        <f>#REF!</f>
        <v>#REF!</v>
      </c>
      <c r="FQ31" s="11"/>
      <c r="FR31" s="2" t="e">
        <f>#REF!</f>
        <v>#REF!</v>
      </c>
      <c r="FT31" s="2" t="e">
        <f>#REF!</f>
        <v>#REF!</v>
      </c>
      <c r="FV31" s="2" t="e">
        <f>#REF!</f>
        <v>#REF!</v>
      </c>
      <c r="FX31" s="2" t="e">
        <f>#REF!</f>
        <v>#REF!</v>
      </c>
      <c r="FZ31" s="2" t="e">
        <f>SUM(FP31:FX31)</f>
        <v>#REF!</v>
      </c>
      <c r="GC31" s="10" t="s">
        <v>38</v>
      </c>
      <c r="GD31" s="2" t="e">
        <f>#REF!-#REF!</f>
        <v>#REF!</v>
      </c>
      <c r="GE31" s="11"/>
      <c r="GF31" s="2" t="e">
        <f>#REF!-#REF!</f>
        <v>#REF!</v>
      </c>
      <c r="GH31" s="2" t="e">
        <f>#REF!-#REF!</f>
        <v>#REF!</v>
      </c>
      <c r="GJ31" s="2" t="e">
        <f>#REF!-#REF!</f>
        <v>#REF!</v>
      </c>
      <c r="GL31" s="2" t="e">
        <f>#REF!-#REF!</f>
        <v>#REF!</v>
      </c>
      <c r="GN31" s="2" t="e">
        <f>SUM(GD31:GL31)</f>
        <v>#REF!</v>
      </c>
      <c r="GQ31" s="10" t="s">
        <v>38</v>
      </c>
      <c r="GR31" s="2" t="e">
        <f>#REF!-#REF!</f>
        <v>#REF!</v>
      </c>
      <c r="GS31" s="11"/>
      <c r="GT31" s="2" t="e">
        <f>#REF!-#REF!</f>
        <v>#REF!</v>
      </c>
      <c r="GV31" s="2" t="e">
        <f>#REF!-#REF!</f>
        <v>#REF!</v>
      </c>
      <c r="GX31" s="2" t="e">
        <f>#REF!-#REF!</f>
        <v>#REF!</v>
      </c>
      <c r="GZ31" s="2" t="e">
        <f>#REF!-#REF!</f>
        <v>#REF!</v>
      </c>
      <c r="HB31" s="2" t="e">
        <f>SUM(GR31:GZ31)</f>
        <v>#REF!</v>
      </c>
      <c r="HE31" s="10" t="s">
        <v>38</v>
      </c>
      <c r="HF31" s="2" t="e">
        <f>#REF!-#REF!</f>
        <v>#REF!</v>
      </c>
      <c r="HG31" s="11"/>
      <c r="HH31" s="2" t="e">
        <f>#REF!-#REF!</f>
        <v>#REF!</v>
      </c>
      <c r="HJ31" s="2" t="e">
        <f>#REF!-#REF!</f>
        <v>#REF!</v>
      </c>
      <c r="HL31" s="2" t="e">
        <f>#REF!-#REF!</f>
        <v>#REF!</v>
      </c>
      <c r="HN31" s="2" t="e">
        <f>#REF!-#REF!</f>
        <v>#REF!</v>
      </c>
      <c r="HP31" s="2" t="e">
        <f>SUM(HF31:HN31)</f>
        <v>#REF!</v>
      </c>
      <c r="HS31" s="10" t="s">
        <v>38</v>
      </c>
      <c r="HT31" s="2" t="e">
        <f>#REF!</f>
        <v>#REF!</v>
      </c>
      <c r="HU31" s="11"/>
      <c r="HV31" s="2" t="e">
        <f>#REF!</f>
        <v>#REF!</v>
      </c>
      <c r="HX31" s="2" t="e">
        <f>#REF!</f>
        <v>#REF!</v>
      </c>
      <c r="HZ31" s="2" t="e">
        <f>#REF!</f>
        <v>#REF!</v>
      </c>
      <c r="IB31" s="2" t="e">
        <f>#REF!</f>
        <v>#REF!</v>
      </c>
      <c r="ID31" s="2" t="e">
        <f>SUM(HT31:IB31)</f>
        <v>#REF!</v>
      </c>
      <c r="IG31" s="10" t="s">
        <v>38</v>
      </c>
      <c r="IH31" s="2" t="e">
        <f>#REF!-#REF!</f>
        <v>#REF!</v>
      </c>
      <c r="II31" s="11"/>
      <c r="IJ31" s="2" t="e">
        <f>#REF!-#REF!</f>
        <v>#REF!</v>
      </c>
      <c r="IL31" s="2" t="e">
        <f>#REF!-#REF!</f>
        <v>#REF!</v>
      </c>
      <c r="IN31" s="2" t="e">
        <f>#REF!-#REF!</f>
        <v>#REF!</v>
      </c>
      <c r="IP31" s="2" t="e">
        <f>#REF!-#REF!</f>
        <v>#REF!</v>
      </c>
      <c r="IR31" s="2" t="e">
        <f>SUM(IH31:IP31)</f>
        <v>#REF!</v>
      </c>
      <c r="IU31" s="10" t="s">
        <v>38</v>
      </c>
      <c r="IV31" s="2" t="e">
        <f>#REF!-#REF!</f>
        <v>#REF!</v>
      </c>
      <c r="IW31" s="11"/>
      <c r="IX31" s="2" t="e">
        <f>#REF!-#REF!</f>
        <v>#REF!</v>
      </c>
      <c r="IZ31" s="2" t="e">
        <f>#REF!-#REF!</f>
        <v>#REF!</v>
      </c>
      <c r="JB31" s="2" t="e">
        <f>#REF!-#REF!</f>
        <v>#REF!</v>
      </c>
      <c r="JD31" s="2" t="e">
        <f>#REF!-#REF!</f>
        <v>#REF!</v>
      </c>
      <c r="JF31" s="2" t="e">
        <f>SUM(IV31:JD31)</f>
        <v>#REF!</v>
      </c>
      <c r="JI31" s="10" t="s">
        <v>38</v>
      </c>
      <c r="JJ31" s="2" t="e">
        <f>#REF!-#REF!</f>
        <v>#REF!</v>
      </c>
      <c r="JK31" s="11"/>
      <c r="JL31" s="2" t="e">
        <f>#REF!-#REF!</f>
        <v>#REF!</v>
      </c>
      <c r="JN31" s="2" t="e">
        <f>#REF!-#REF!</f>
        <v>#REF!</v>
      </c>
      <c r="JP31" s="2" t="e">
        <f>#REF!-#REF!</f>
        <v>#REF!</v>
      </c>
      <c r="JR31" s="2" t="e">
        <f>#REF!-#REF!</f>
        <v>#REF!</v>
      </c>
      <c r="JT31" s="2" t="e">
        <f>SUM(JJ31:JR31)</f>
        <v>#REF!</v>
      </c>
      <c r="JW31" s="10" t="s">
        <v>38</v>
      </c>
      <c r="JX31" s="2" t="e">
        <f>#REF!</f>
        <v>#REF!</v>
      </c>
      <c r="JY31" s="11"/>
      <c r="JZ31" s="2" t="e">
        <f>#REF!</f>
        <v>#REF!</v>
      </c>
      <c r="KB31" s="2" t="e">
        <f>#REF!</f>
        <v>#REF!</v>
      </c>
      <c r="KD31" s="2" t="e">
        <f>#REF!</f>
        <v>#REF!</v>
      </c>
      <c r="KF31" s="2" t="e">
        <f>#REF!</f>
        <v>#REF!</v>
      </c>
      <c r="KH31" s="2" t="e">
        <f>SUM(JX31:KF31)</f>
        <v>#REF!</v>
      </c>
      <c r="KK31" s="10" t="s">
        <v>38</v>
      </c>
      <c r="KL31" s="2" t="e">
        <f>#REF!-#REF!</f>
        <v>#REF!</v>
      </c>
      <c r="KM31" s="11"/>
      <c r="KN31" s="2" t="e">
        <f>#REF!-#REF!</f>
        <v>#REF!</v>
      </c>
      <c r="KP31" s="2" t="e">
        <f>#REF!-#REF!</f>
        <v>#REF!</v>
      </c>
      <c r="KR31" s="2" t="e">
        <f>#REF!-#REF!</f>
        <v>#REF!</v>
      </c>
      <c r="KT31" s="2" t="e">
        <f>#REF!-#REF!</f>
        <v>#REF!</v>
      </c>
      <c r="KV31" s="2" t="e">
        <f>SUM(KL31:KT31)</f>
        <v>#REF!</v>
      </c>
      <c r="KY31" s="10" t="s">
        <v>38</v>
      </c>
      <c r="KZ31" s="2" t="e">
        <f>#REF!-#REF!</f>
        <v>#REF!</v>
      </c>
      <c r="LA31" s="11"/>
      <c r="LB31" s="2" t="e">
        <f>#REF!-#REF!</f>
        <v>#REF!</v>
      </c>
      <c r="LD31" s="2" t="e">
        <f>#REF!-#REF!</f>
        <v>#REF!</v>
      </c>
      <c r="LF31" s="2" t="e">
        <f>#REF!-#REF!</f>
        <v>#REF!</v>
      </c>
      <c r="LH31" s="2" t="e">
        <f>#REF!-#REF!</f>
        <v>#REF!</v>
      </c>
      <c r="LJ31" s="2" t="e">
        <f>SUM(KZ31:LH31)</f>
        <v>#REF!</v>
      </c>
      <c r="LM31" s="10" t="s">
        <v>38</v>
      </c>
      <c r="LN31" s="2" t="e">
        <f>#REF!-#REF!</f>
        <v>#REF!</v>
      </c>
      <c r="LO31" s="11"/>
      <c r="LP31" s="2" t="e">
        <f>#REF!-#REF!</f>
        <v>#REF!</v>
      </c>
      <c r="LR31" s="2" t="e">
        <f>#REF!-#REF!</f>
        <v>#REF!</v>
      </c>
      <c r="LT31" s="2" t="e">
        <f>#REF!-#REF!</f>
        <v>#REF!</v>
      </c>
      <c r="LV31" s="2" t="e">
        <f>#REF!-#REF!</f>
        <v>#REF!</v>
      </c>
      <c r="LX31" s="2" t="e">
        <f>SUM(LN31:LV31)</f>
        <v>#REF!</v>
      </c>
      <c r="LZ31" s="10" t="s">
        <v>38</v>
      </c>
      <c r="MA31" s="2" t="e">
        <f>#REF!</f>
        <v>#REF!</v>
      </c>
      <c r="MB31" s="11"/>
      <c r="MC31" s="2" t="e">
        <f>#REF!</f>
        <v>#REF!</v>
      </c>
      <c r="ME31" s="2" t="e">
        <f>#REF!</f>
        <v>#REF!</v>
      </c>
      <c r="MF31" s="61"/>
      <c r="MG31" s="2" t="e">
        <f>#REF!</f>
        <v>#REF!</v>
      </c>
      <c r="MI31" s="2" t="e">
        <f>#REF!</f>
        <v>#REF!</v>
      </c>
      <c r="MK31" s="2" t="e">
        <f>SUM(MA31:MI31)</f>
        <v>#REF!</v>
      </c>
      <c r="MM31" s="10" t="s">
        <v>38</v>
      </c>
      <c r="MN31" s="2" t="e">
        <f>#REF!-#REF!</f>
        <v>#REF!</v>
      </c>
      <c r="MO31" s="11"/>
      <c r="MP31" s="2" t="e">
        <f>#REF!-#REF!</f>
        <v>#REF!</v>
      </c>
      <c r="MR31" s="2" t="e">
        <f>#REF!-#REF!</f>
        <v>#REF!</v>
      </c>
      <c r="MT31" s="2" t="e">
        <f>#REF!-#REF!</f>
        <v>#REF!</v>
      </c>
      <c r="MV31" s="2" t="e">
        <f>#REF!-#REF!</f>
        <v>#REF!</v>
      </c>
      <c r="MX31" s="2" t="e">
        <f>SUM(MN31:MV31)</f>
        <v>#REF!</v>
      </c>
      <c r="NA31" s="10" t="s">
        <v>38</v>
      </c>
      <c r="NB31" s="2" t="e">
        <f>#REF!-#REF!</f>
        <v>#REF!</v>
      </c>
      <c r="NC31" s="11"/>
      <c r="ND31" s="2" t="e">
        <f>#REF!-#REF!</f>
        <v>#REF!</v>
      </c>
      <c r="NF31" s="2" t="e">
        <f>#REF!-#REF!</f>
        <v>#REF!</v>
      </c>
      <c r="NH31" s="2" t="e">
        <f>#REF!-#REF!</f>
        <v>#REF!</v>
      </c>
      <c r="NJ31" s="2" t="e">
        <f>#REF!-#REF!</f>
        <v>#REF!</v>
      </c>
      <c r="NL31" s="2" t="e">
        <f>SUM(NB31:NJ31)</f>
        <v>#REF!</v>
      </c>
      <c r="NO31" s="10" t="s">
        <v>38</v>
      </c>
      <c r="NP31" s="2" t="e">
        <f>#REF!-#REF!</f>
        <v>#REF!</v>
      </c>
      <c r="NQ31" s="11"/>
      <c r="NR31" s="2" t="e">
        <f>#REF!-#REF!</f>
        <v>#REF!</v>
      </c>
      <c r="NT31" s="2" t="e">
        <f>#REF!-#REF!</f>
        <v>#REF!</v>
      </c>
      <c r="NV31" s="2" t="e">
        <f>#REF!-#REF!</f>
        <v>#REF!</v>
      </c>
      <c r="NX31" s="2" t="e">
        <f>#REF!-#REF!</f>
        <v>#REF!</v>
      </c>
      <c r="NZ31" s="2" t="e">
        <f>SUM(NP31:NX31)</f>
        <v>#REF!</v>
      </c>
      <c r="OB31" s="10" t="s">
        <v>38</v>
      </c>
      <c r="OC31" s="2" t="e">
        <f>#REF!</f>
        <v>#REF!</v>
      </c>
      <c r="OD31" s="11"/>
      <c r="OE31" s="2" t="e">
        <f>#REF!</f>
        <v>#REF!</v>
      </c>
      <c r="OG31" s="2" t="e">
        <f>#REF!</f>
        <v>#REF!</v>
      </c>
      <c r="OH31" s="61"/>
      <c r="OI31" s="2" t="e">
        <f>#REF!</f>
        <v>#REF!</v>
      </c>
      <c r="OK31" s="2" t="e">
        <f>#REF!</f>
        <v>#REF!</v>
      </c>
      <c r="OM31" s="2" t="e">
        <f>SUM(OC31:OK31)</f>
        <v>#REF!</v>
      </c>
      <c r="OO31" s="10" t="s">
        <v>38</v>
      </c>
      <c r="OP31" s="2" t="e">
        <f>#REF!-#REF!</f>
        <v>#REF!</v>
      </c>
      <c r="OQ31" s="11"/>
      <c r="OR31" s="2" t="e">
        <f>#REF!-#REF!</f>
        <v>#REF!</v>
      </c>
      <c r="OT31" s="53" t="e">
        <f>#REF!-#REF!</f>
        <v>#REF!</v>
      </c>
      <c r="OV31" s="2" t="e">
        <f>#REF!-#REF!</f>
        <v>#REF!</v>
      </c>
      <c r="OX31" s="2" t="e">
        <f>#REF!-#REF!</f>
        <v>#REF!</v>
      </c>
      <c r="OZ31" s="2" t="e">
        <f>SUM(OP31:OX31)</f>
        <v>#REF!</v>
      </c>
      <c r="PB31" s="10" t="s">
        <v>38</v>
      </c>
      <c r="PC31" s="2" t="e">
        <f>#REF!-#REF!</f>
        <v>#REF!</v>
      </c>
      <c r="PD31" s="11"/>
      <c r="PE31" s="2" t="e">
        <f>#REF!-#REF!</f>
        <v>#REF!</v>
      </c>
      <c r="PG31" s="39" t="e">
        <f>#REF!-#REF!</f>
        <v>#REF!</v>
      </c>
      <c r="PI31" s="2" t="e">
        <f>#REF!-#REF!</f>
        <v>#REF!</v>
      </c>
      <c r="PK31" s="2" t="e">
        <f>#REF!-#REF!</f>
        <v>#REF!</v>
      </c>
      <c r="PM31" s="2" t="e">
        <f>SUM(PC31:PK31)</f>
        <v>#REF!</v>
      </c>
      <c r="PO31" s="10" t="s">
        <v>38</v>
      </c>
      <c r="PP31" s="2" t="e">
        <f>#REF!-#REF!</f>
        <v>#REF!</v>
      </c>
      <c r="PQ31" s="11"/>
      <c r="PR31" s="2" t="e">
        <f>#REF!-#REF!</f>
        <v>#REF!</v>
      </c>
      <c r="PT31" s="39" t="e">
        <f>#REF!-#REF!</f>
        <v>#REF!</v>
      </c>
      <c r="PV31" s="2" t="e">
        <f>#REF!-#REF!</f>
        <v>#REF!</v>
      </c>
      <c r="PX31" s="2" t="e">
        <f>#REF!-#REF!</f>
        <v>#REF!</v>
      </c>
      <c r="PZ31" s="2" t="e">
        <f>SUM(PP31:PX31)</f>
        <v>#REF!</v>
      </c>
      <c r="QB31" s="10" t="s">
        <v>38</v>
      </c>
      <c r="QC31" s="2" t="e">
        <f>#REF!-#REF!-#REF!</f>
        <v>#REF!</v>
      </c>
      <c r="QD31" s="11"/>
      <c r="QE31" s="2" t="e">
        <f>#REF!-#REF!</f>
        <v>#REF!</v>
      </c>
      <c r="QG31" s="39">
        <v>0</v>
      </c>
      <c r="QI31" s="2" t="e">
        <f>#REF!-#REF!</f>
        <v>#REF!</v>
      </c>
      <c r="QK31" s="2" t="e">
        <f>#REF!-#REF!</f>
        <v>#REF!</v>
      </c>
      <c r="QM31" s="2" t="e">
        <f>SUM(QC31:QK31)</f>
        <v>#REF!</v>
      </c>
      <c r="QO31" s="10" t="s">
        <v>38</v>
      </c>
      <c r="QP31" s="2" t="e">
        <f>#REF!-#REF!</f>
        <v>#REF!</v>
      </c>
      <c r="QQ31" s="11"/>
      <c r="QR31" s="2" t="e">
        <f>#REF!-#REF!</f>
        <v>#REF!</v>
      </c>
      <c r="QT31" s="2" t="e">
        <f>#REF!-#REF!</f>
        <v>#REF!</v>
      </c>
      <c r="QV31" s="2" t="e">
        <f>#REF!-#REF!</f>
        <v>#REF!</v>
      </c>
      <c r="QX31" s="2" t="e">
        <f>#REF!-#REF!</f>
        <v>#REF!</v>
      </c>
      <c r="QZ31" s="2" t="e">
        <f>SUM(QP31:QX31)</f>
        <v>#REF!</v>
      </c>
      <c r="RB31" s="10" t="s">
        <v>38</v>
      </c>
      <c r="RC31" s="2" t="e">
        <f>#REF!-#REF!</f>
        <v>#REF!</v>
      </c>
      <c r="RD31" s="11"/>
      <c r="RE31" s="2" t="e">
        <f>#REF!-#REF!</f>
        <v>#REF!</v>
      </c>
      <c r="RG31" s="2" t="e">
        <f>#REF!-#REF!</f>
        <v>#REF!</v>
      </c>
      <c r="RI31" s="2" t="e">
        <f>#REF!-#REF!</f>
        <v>#REF!</v>
      </c>
      <c r="RK31" s="2" t="e">
        <f>#REF!-#REF!</f>
        <v>#REF!</v>
      </c>
      <c r="RM31" s="2" t="e">
        <f>SUM(RC31:RK31)</f>
        <v>#REF!</v>
      </c>
      <c r="RO31" s="10" t="s">
        <v>38</v>
      </c>
      <c r="RP31" s="2" t="e">
        <f>#REF!</f>
        <v>#REF!</v>
      </c>
      <c r="RQ31" s="11"/>
      <c r="RR31" s="2" t="e">
        <f>#REF!</f>
        <v>#REF!</v>
      </c>
      <c r="RT31" s="2" t="e">
        <f>#REF!</f>
        <v>#REF!</v>
      </c>
      <c r="RV31" s="2" t="e">
        <f>#REF!</f>
        <v>#REF!</v>
      </c>
      <c r="RX31" s="2" t="e">
        <f>#REF!</f>
        <v>#REF!</v>
      </c>
      <c r="RZ31" s="2" t="e">
        <f>SUM(RP31:RX31)</f>
        <v>#REF!</v>
      </c>
      <c r="SB31" s="10" t="s">
        <v>38</v>
      </c>
      <c r="SC31" s="2" t="e">
        <f>#REF!-#REF!</f>
        <v>#REF!</v>
      </c>
      <c r="SD31" s="11"/>
      <c r="SE31" s="2" t="e">
        <f>#REF!-#REF!</f>
        <v>#REF!</v>
      </c>
      <c r="SG31" s="2" t="e">
        <f>#REF!-#REF!</f>
        <v>#REF!</v>
      </c>
      <c r="SI31" s="2" t="e">
        <f>#REF!-#REF!</f>
        <v>#REF!</v>
      </c>
      <c r="SK31" s="2" t="e">
        <f>#REF!-#REF!</f>
        <v>#REF!</v>
      </c>
      <c r="SM31" s="2" t="e">
        <f>SUM(SC31:SK31)</f>
        <v>#REF!</v>
      </c>
      <c r="SO31" s="10" t="s">
        <v>38</v>
      </c>
      <c r="SP31" s="2" t="e">
        <f>#REF!-#REF!</f>
        <v>#REF!</v>
      </c>
      <c r="SQ31" s="11"/>
      <c r="SR31" s="2" t="e">
        <f>#REF!-#REF!</f>
        <v>#REF!</v>
      </c>
      <c r="ST31" s="2" t="e">
        <f>#REF!-#REF!</f>
        <v>#REF!</v>
      </c>
      <c r="SV31" s="2" t="e">
        <f>#REF!-#REF!</f>
        <v>#REF!</v>
      </c>
      <c r="SX31" s="2" t="e">
        <f>#REF!-#REF!</f>
        <v>#REF!</v>
      </c>
      <c r="SZ31" s="2" t="e">
        <f>SUM(SP31:SX31)</f>
        <v>#REF!</v>
      </c>
      <c r="TB31" s="10" t="s">
        <v>38</v>
      </c>
      <c r="TC31" s="2" t="e">
        <f>#REF!-#REF!</f>
        <v>#REF!</v>
      </c>
      <c r="TD31" s="11"/>
      <c r="TE31" s="2" t="e">
        <f>#REF!-#REF!</f>
        <v>#REF!</v>
      </c>
      <c r="TG31" s="2" t="e">
        <f>#REF!-#REF!</f>
        <v>#REF!</v>
      </c>
      <c r="TI31" s="2" t="e">
        <f>#REF!-#REF!</f>
        <v>#REF!</v>
      </c>
      <c r="TK31" s="2" t="e">
        <f>#REF!-#REF!</f>
        <v>#REF!</v>
      </c>
      <c r="TM31" s="2" t="e">
        <f>SUM(TC31:TK31)</f>
        <v>#REF!</v>
      </c>
      <c r="TO31" s="10" t="s">
        <v>38</v>
      </c>
      <c r="TP31" s="2" t="e">
        <f>#REF!</f>
        <v>#REF!</v>
      </c>
      <c r="TQ31" s="11"/>
      <c r="TR31" s="2" t="e">
        <f>#REF!</f>
        <v>#REF!</v>
      </c>
      <c r="TT31" s="2" t="e">
        <f>#REF!</f>
        <v>#REF!</v>
      </c>
      <c r="TV31" s="2" t="e">
        <f>#REF!</f>
        <v>#REF!</v>
      </c>
      <c r="TX31" s="2" t="e">
        <f>#REF!</f>
        <v>#REF!</v>
      </c>
      <c r="TZ31" s="2" t="e">
        <f>SUM(TP31:TX31)</f>
        <v>#REF!</v>
      </c>
      <c r="UB31" s="10" t="s">
        <v>38</v>
      </c>
      <c r="UC31" s="2" t="e">
        <f>#REF!-#REF!</f>
        <v>#REF!</v>
      </c>
      <c r="UD31" s="11"/>
      <c r="UE31" s="2" t="e">
        <f>#REF!-#REF!</f>
        <v>#REF!</v>
      </c>
      <c r="UG31" s="2" t="e">
        <f>#REF!-#REF!</f>
        <v>#REF!</v>
      </c>
      <c r="UI31" s="2" t="e">
        <f>#REF!-#REF!</f>
        <v>#REF!</v>
      </c>
      <c r="UK31" s="2" t="e">
        <f>#REF!-#REF!</f>
        <v>#REF!</v>
      </c>
      <c r="UM31" s="2" t="e">
        <f>SUM(UC31:UK31)</f>
        <v>#REF!</v>
      </c>
      <c r="UO31" s="10" t="s">
        <v>38</v>
      </c>
      <c r="UP31" s="2" t="e">
        <f>#REF!-#REF!</f>
        <v>#REF!</v>
      </c>
      <c r="UQ31" s="11"/>
      <c r="UR31" s="2" t="e">
        <f>#REF!-#REF!</f>
        <v>#REF!</v>
      </c>
      <c r="UT31" s="2" t="e">
        <f>#REF!-#REF!</f>
        <v>#REF!</v>
      </c>
      <c r="UV31" s="2" t="e">
        <f>#REF!-#REF!</f>
        <v>#REF!</v>
      </c>
      <c r="UX31" s="2" t="e">
        <f>#REF!-#REF!</f>
        <v>#REF!</v>
      </c>
      <c r="UZ31" s="2" t="e">
        <f>SUM(UP31:UX31)</f>
        <v>#REF!</v>
      </c>
      <c r="VB31" s="10" t="s">
        <v>38</v>
      </c>
      <c r="VC31" s="2" t="e">
        <f>#REF!-#REF!</f>
        <v>#REF!</v>
      </c>
      <c r="VD31" s="11"/>
      <c r="VE31" s="2" t="e">
        <f>#REF!-#REF!</f>
        <v>#REF!</v>
      </c>
      <c r="VG31" s="2" t="e">
        <f>#REF!-#REF!</f>
        <v>#REF!</v>
      </c>
      <c r="VI31" s="2" t="e">
        <f>#REF!-#REF!</f>
        <v>#REF!</v>
      </c>
      <c r="VK31" s="2" t="e">
        <f>#REF!-#REF!</f>
        <v>#REF!</v>
      </c>
      <c r="VM31" s="2" t="e">
        <f>SUM(VC31:VK31)</f>
        <v>#REF!</v>
      </c>
      <c r="VO31" s="10" t="s">
        <v>38</v>
      </c>
      <c r="VP31" s="2" t="e">
        <f>#REF!</f>
        <v>#REF!</v>
      </c>
      <c r="VQ31" s="11"/>
      <c r="VR31" s="2" t="e">
        <f>#REF!</f>
        <v>#REF!</v>
      </c>
      <c r="VT31" s="2" t="e">
        <f>#REF!</f>
        <v>#REF!</v>
      </c>
      <c r="VV31" s="2" t="e">
        <f>#REF!</f>
        <v>#REF!</v>
      </c>
      <c r="VX31" s="2" t="e">
        <f>#REF!</f>
        <v>#REF!</v>
      </c>
      <c r="VZ31" s="2" t="e">
        <f>SUM(VP31:VX31)</f>
        <v>#REF!</v>
      </c>
      <c r="WB31" s="10" t="s">
        <v>38</v>
      </c>
      <c r="WC31" s="2" t="e">
        <f>#REF!-#REF!</f>
        <v>#REF!</v>
      </c>
      <c r="WD31" s="11"/>
      <c r="WE31" s="2" t="e">
        <f>#REF!-#REF!</f>
        <v>#REF!</v>
      </c>
      <c r="WG31" s="2" t="e">
        <f>#REF!-#REF!</f>
        <v>#REF!</v>
      </c>
      <c r="WI31" s="2" t="e">
        <f>#REF!-#REF!</f>
        <v>#REF!</v>
      </c>
      <c r="WK31" s="2" t="e">
        <f>#REF!-#REF!</f>
        <v>#REF!</v>
      </c>
      <c r="WM31" s="2" t="e">
        <f>SUM(WC31:WK31)</f>
        <v>#REF!</v>
      </c>
      <c r="WO31" s="10" t="s">
        <v>38</v>
      </c>
      <c r="WP31" s="2" t="e">
        <f>#REF!-#REF!</f>
        <v>#REF!</v>
      </c>
      <c r="WQ31" s="11"/>
      <c r="WR31" s="2" t="e">
        <f>#REF!-#REF!</f>
        <v>#REF!</v>
      </c>
      <c r="WT31" s="2" t="e">
        <f>#REF!-#REF!</f>
        <v>#REF!</v>
      </c>
      <c r="WV31" s="2" t="e">
        <f>#REF!-#REF!</f>
        <v>#REF!</v>
      </c>
      <c r="WX31" s="2" t="e">
        <f>#REF!-#REF!</f>
        <v>#REF!</v>
      </c>
      <c r="WZ31" s="2" t="e">
        <f>SUM(WP31:WX31)</f>
        <v>#REF!</v>
      </c>
      <c r="XB31" s="10" t="s">
        <v>38</v>
      </c>
      <c r="XC31" s="2" t="e">
        <f>#REF!-#REF!</f>
        <v>#REF!</v>
      </c>
      <c r="XD31" s="11"/>
      <c r="XE31" s="2" t="e">
        <f>#REF!-#REF!</f>
        <v>#REF!</v>
      </c>
      <c r="XG31" s="2" t="e">
        <f>#REF!-#REF!</f>
        <v>#REF!</v>
      </c>
      <c r="XI31" s="2" t="e">
        <f>#REF!-#REF!</f>
        <v>#REF!</v>
      </c>
      <c r="XK31" s="2" t="e">
        <f>#REF!-#REF!</f>
        <v>#REF!</v>
      </c>
      <c r="XM31" s="2" t="e">
        <f>SUM(XC31:XK31)</f>
        <v>#REF!</v>
      </c>
      <c r="XO31" s="10" t="s">
        <v>38</v>
      </c>
      <c r="XP31" s="2" t="e">
        <f>#REF!</f>
        <v>#REF!</v>
      </c>
      <c r="XQ31" s="11"/>
      <c r="XR31" s="2" t="e">
        <f>#REF!</f>
        <v>#REF!</v>
      </c>
      <c r="XT31" s="2" t="e">
        <f>#REF!</f>
        <v>#REF!</v>
      </c>
      <c r="XV31" s="2" t="e">
        <f>#REF!</f>
        <v>#REF!</v>
      </c>
      <c r="XX31" s="2" t="e">
        <f>#REF!</f>
        <v>#REF!</v>
      </c>
      <c r="XZ31" s="2" t="e">
        <f>SUM(XP31:XX31)</f>
        <v>#REF!</v>
      </c>
      <c r="YB31" s="10" t="s">
        <v>38</v>
      </c>
      <c r="YC31" s="2" t="e">
        <f>#REF!-#REF!</f>
        <v>#REF!</v>
      </c>
      <c r="YD31" s="11"/>
      <c r="YE31" s="2" t="e">
        <f>#REF!-#REF!</f>
        <v>#REF!</v>
      </c>
      <c r="YG31" s="2" t="e">
        <f>#REF!-#REF!</f>
        <v>#REF!</v>
      </c>
      <c r="YI31" s="2" t="e">
        <f>#REF!-#REF!</f>
        <v>#REF!</v>
      </c>
      <c r="YK31" s="2" t="e">
        <f>#REF!-#REF!</f>
        <v>#REF!</v>
      </c>
      <c r="YM31" s="2" t="e">
        <f>SUM(YC31:YK31)</f>
        <v>#REF!</v>
      </c>
      <c r="YO31" s="10"/>
      <c r="YP31" s="2"/>
      <c r="YQ31" s="11"/>
    </row>
    <row r="32" spans="1:676">
      <c r="A32" s="10" t="s">
        <v>39</v>
      </c>
      <c r="B32" s="2">
        <f t="shared" ref="B32:B33" si="55">B6-R6</f>
        <v>47251224.479303509</v>
      </c>
      <c r="C32" s="11"/>
      <c r="D32" s="2">
        <f t="shared" ref="D32:D33" si="56">D6-T6</f>
        <v>49905.910000000149</v>
      </c>
      <c r="F32" s="2">
        <f t="shared" ref="F32:F33" si="57">F6-V6</f>
        <v>0</v>
      </c>
      <c r="H32" s="2">
        <f t="shared" si="53"/>
        <v>0</v>
      </c>
      <c r="J32" s="2">
        <f t="shared" ref="J32:J33" si="58">J6-Z6</f>
        <v>0</v>
      </c>
      <c r="L32" s="2">
        <f t="shared" ref="L32:L33" si="59">L6-AB6</f>
        <v>0</v>
      </c>
      <c r="N32" s="2">
        <f t="shared" ref="N32:N33" si="60">SUM(B32:L32)</f>
        <v>47301130.389303505</v>
      </c>
      <c r="Q32" s="10" t="s">
        <v>39</v>
      </c>
      <c r="R32" s="2">
        <f t="shared" ref="R32:R33" si="61">R6-AH6</f>
        <v>44581204.170696437</v>
      </c>
      <c r="S32" s="11"/>
      <c r="T32" s="2">
        <f t="shared" ref="T32:T33" si="62">T6-AJ6</f>
        <v>708259.5399999998</v>
      </c>
      <c r="V32" s="2">
        <f t="shared" ref="V32:V33" si="63">V6-AL6</f>
        <v>0</v>
      </c>
      <c r="W32" s="2"/>
      <c r="X32" s="2">
        <f t="shared" si="54"/>
        <v>0</v>
      </c>
      <c r="Z32" s="2">
        <f t="shared" ref="Z32:Z33" si="64">Z6-AP6</f>
        <v>0</v>
      </c>
      <c r="AB32" s="2">
        <f t="shared" ref="AB32:AB33" si="65">AB6-AR6</f>
        <v>0</v>
      </c>
      <c r="AD32" s="48">
        <f t="shared" ref="AD32:AD33" si="66">SUM(R32:AB32)</f>
        <v>45289463.710696436</v>
      </c>
      <c r="AG32" s="10" t="s">
        <v>39</v>
      </c>
      <c r="AH32" s="2">
        <f t="shared" ref="AH32:AH33" si="67">AH6-AX6</f>
        <v>57730823.823996373</v>
      </c>
      <c r="AI32" s="11"/>
      <c r="AJ32" s="2">
        <f t="shared" ref="AJ32:AJ33" si="68">AJ6-AZ6</f>
        <v>282818.31</v>
      </c>
      <c r="AL32" s="2">
        <f t="shared" ref="AL32:AL33" si="69">AL6-BB6</f>
        <v>0</v>
      </c>
      <c r="AM32" s="2"/>
      <c r="AN32" s="2">
        <f t="shared" ref="AN32:AN33" si="70">AN6-BD6</f>
        <v>0</v>
      </c>
      <c r="AP32" s="2">
        <f t="shared" ref="AP32:AP34" si="71">AP6-BF6</f>
        <v>0</v>
      </c>
      <c r="AR32" s="2">
        <f t="shared" ref="AR32:AR33" si="72">AR6-BH6</f>
        <v>0</v>
      </c>
      <c r="AT32" s="48">
        <f t="shared" ref="AT32:AT33" si="73">SUM(AH32:AR32)</f>
        <v>58013642.133996375</v>
      </c>
      <c r="AW32" s="10" t="s">
        <v>39</v>
      </c>
      <c r="AX32" s="2">
        <f t="shared" ref="AX32:AZ32" si="74">AX6</f>
        <v>33076802.286003672</v>
      </c>
      <c r="AY32" s="11"/>
      <c r="AZ32" s="2">
        <f t="shared" si="74"/>
        <v>51606.26</v>
      </c>
      <c r="BB32" s="2">
        <f t="shared" ref="BB32" si="75">BB6</f>
        <v>0</v>
      </c>
      <c r="BC32" s="2"/>
      <c r="BD32" s="2">
        <f t="shared" ref="BD32" si="76">BD6</f>
        <v>0</v>
      </c>
      <c r="BF32" s="2">
        <f t="shared" ref="BF32" si="77">BF6</f>
        <v>0</v>
      </c>
      <c r="BH32" s="2">
        <f t="shared" ref="BH32" si="78">BH6</f>
        <v>0</v>
      </c>
      <c r="BJ32" s="2">
        <f>SUM(AX32:BH32)</f>
        <v>33128408.546003673</v>
      </c>
      <c r="BM32" s="10" t="s">
        <v>39</v>
      </c>
      <c r="BN32" s="2">
        <f t="shared" ref="BN32:BN33" si="79">BN6-CD6</f>
        <v>19533626.370947689</v>
      </c>
      <c r="BO32" s="11"/>
      <c r="BP32" s="2">
        <f t="shared" ref="BP32:BP33" si="80">BP6-CF6</f>
        <v>31071.289999999979</v>
      </c>
      <c r="BR32" s="2">
        <f t="shared" ref="BR32:BR33" si="81">BR6-CH6</f>
        <v>0</v>
      </c>
      <c r="BT32" s="2">
        <f t="shared" ref="BT32:BT33" si="82">BT6-CJ6</f>
        <v>0</v>
      </c>
      <c r="BV32" s="2">
        <f t="shared" ref="BV32:BV33" si="83">BV6-CL6</f>
        <v>0</v>
      </c>
      <c r="BX32" s="2">
        <f t="shared" ref="BX32:BX33" si="84">BX6-CN6</f>
        <v>0</v>
      </c>
      <c r="BZ32" s="2">
        <f>SUM(BN32:BX32)</f>
        <v>19564697.660947688</v>
      </c>
      <c r="CC32" s="10" t="s">
        <v>39</v>
      </c>
      <c r="CD32" s="2">
        <f>CD6-CT6</f>
        <v>43684388.628322348</v>
      </c>
      <c r="CE32" s="11"/>
      <c r="CF32" s="2">
        <f>CF6-CV6</f>
        <v>262283.82</v>
      </c>
      <c r="CH32" s="2">
        <f>CH6-CX6</f>
        <v>0</v>
      </c>
      <c r="CI32" s="2"/>
      <c r="CJ32" s="2">
        <f>CJ6-CZ6</f>
        <v>0</v>
      </c>
      <c r="CL32" s="2">
        <f>CL6-DB6</f>
        <v>0</v>
      </c>
      <c r="CN32" s="2">
        <f>CN6-DD6</f>
        <v>0</v>
      </c>
      <c r="CP32" s="2">
        <f>SUM(CD32:CN32)</f>
        <v>43946672.448322348</v>
      </c>
      <c r="CS32" s="10" t="s">
        <v>39</v>
      </c>
      <c r="CT32" s="2">
        <f>CT6-DJ6</f>
        <v>29029843.899040975</v>
      </c>
      <c r="CU32" s="11"/>
      <c r="CV32" s="2">
        <f>CV6-DL6</f>
        <v>70682.460000000006</v>
      </c>
      <c r="CX32" s="2">
        <f>CX6-DN6</f>
        <v>0</v>
      </c>
      <c r="CY32" s="2"/>
      <c r="CZ32" s="2">
        <f>CZ6-DP6</f>
        <v>0</v>
      </c>
      <c r="DB32" s="2">
        <f>DB6-DR6</f>
        <v>0</v>
      </c>
      <c r="DD32" s="2">
        <f>DD6-DT6</f>
        <v>0</v>
      </c>
      <c r="DF32" s="2">
        <f>SUM(CT32:DD32)</f>
        <v>29100526.359040976</v>
      </c>
      <c r="DI32" s="10" t="s">
        <v>39</v>
      </c>
      <c r="DJ32" s="2">
        <f t="shared" ref="DJ32:DJ33" si="85">DJ6</f>
        <v>60297185.680958994</v>
      </c>
      <c r="DK32" s="11"/>
      <c r="DL32" s="2">
        <f t="shared" ref="DL32" si="86">DL6</f>
        <v>30294.42</v>
      </c>
      <c r="DN32" s="2">
        <f t="shared" ref="DN32" si="87">DN6</f>
        <v>0</v>
      </c>
      <c r="DO32" s="2"/>
      <c r="DP32" s="2">
        <f t="shared" ref="DP32" si="88">DP6</f>
        <v>0</v>
      </c>
      <c r="DR32" s="2">
        <f t="shared" ref="DR32" si="89">DR6</f>
        <v>0</v>
      </c>
      <c r="DT32" s="2">
        <f t="shared" ref="DT32" si="90">DT6</f>
        <v>0</v>
      </c>
      <c r="DV32" s="2">
        <f>SUM(DJ32:DT32)</f>
        <v>60327480.100958996</v>
      </c>
      <c r="DY32" s="10" t="s">
        <v>39</v>
      </c>
      <c r="DZ32" s="2">
        <f t="shared" ref="DZ32:EH33" si="91">DZ6-EN6</f>
        <v>36657287.889774442</v>
      </c>
      <c r="EA32" s="11"/>
      <c r="EB32" s="2">
        <f t="shared" si="91"/>
        <v>36302.489999999991</v>
      </c>
      <c r="ED32" s="2">
        <f t="shared" si="91"/>
        <v>0</v>
      </c>
      <c r="EF32" s="2">
        <f t="shared" si="91"/>
        <v>0</v>
      </c>
      <c r="EH32" s="2">
        <f t="shared" si="91"/>
        <v>0</v>
      </c>
      <c r="EJ32" s="2">
        <f>SUM(DZ32:EH32)</f>
        <v>36693590.379774444</v>
      </c>
      <c r="EM32" s="10" t="s">
        <v>39</v>
      </c>
      <c r="EN32" s="2">
        <f t="shared" ref="EN32:EV33" si="92">EN6-FB6</f>
        <v>48277141.235697463</v>
      </c>
      <c r="EO32" s="11"/>
      <c r="EP32" s="2">
        <f t="shared" si="92"/>
        <v>17829.100000000006</v>
      </c>
      <c r="ER32" s="2">
        <f t="shared" si="92"/>
        <v>0</v>
      </c>
      <c r="ET32" s="2">
        <f t="shared" si="92"/>
        <v>0</v>
      </c>
      <c r="EV32" s="2">
        <f t="shared" si="92"/>
        <v>0</v>
      </c>
      <c r="EX32" s="2">
        <f>SUM(EN32:EV32)</f>
        <v>48294970.335697465</v>
      </c>
      <c r="FA32" s="10" t="s">
        <v>39</v>
      </c>
      <c r="FB32" s="2">
        <f>FB6-FP6</f>
        <v>23316090.825966656</v>
      </c>
      <c r="FC32" s="11"/>
      <c r="FD32" s="2">
        <f>FD6-FR6</f>
        <v>50954.21</v>
      </c>
      <c r="FF32" s="2">
        <f>FF6-FT6</f>
        <v>0</v>
      </c>
      <c r="FH32" s="2">
        <f>FH6-FV6</f>
        <v>0</v>
      </c>
      <c r="FJ32" s="2">
        <f>FJ6-FX6</f>
        <v>0</v>
      </c>
      <c r="FL32" s="2">
        <f>SUM(FB32:FJ32)</f>
        <v>23367045.035966657</v>
      </c>
      <c r="FO32" s="10" t="s">
        <v>39</v>
      </c>
      <c r="FP32" s="2">
        <f t="shared" ref="FP32:FP33" si="93">FP6</f>
        <v>51477952.374033347</v>
      </c>
      <c r="FQ32" s="11"/>
      <c r="FR32" s="2">
        <f t="shared" ref="FR32:FT33" si="94">FR6</f>
        <v>43248.6</v>
      </c>
      <c r="FT32" s="2">
        <f t="shared" si="94"/>
        <v>0</v>
      </c>
      <c r="FV32" s="2">
        <f t="shared" ref="FV32" si="95">FV6</f>
        <v>0</v>
      </c>
      <c r="FX32" s="2">
        <f t="shared" ref="FX32" si="96">FX6</f>
        <v>0</v>
      </c>
      <c r="FZ32" s="2">
        <f>SUM(FP32:FX32)</f>
        <v>51521200.974033348</v>
      </c>
      <c r="GC32" s="10" t="s">
        <v>39</v>
      </c>
      <c r="GD32" s="2">
        <f t="shared" ref="GD32:GD33" si="97">GD6-GR6</f>
        <v>12440846.894390307</v>
      </c>
      <c r="GE32" s="11"/>
      <c r="GF32" s="2">
        <f t="shared" ref="GF32:GF33" si="98">GF6-GT6</f>
        <v>122619.34</v>
      </c>
      <c r="GH32" s="2">
        <f t="shared" ref="GH32:GH33" si="99">GH6-GV6</f>
        <v>0</v>
      </c>
      <c r="GJ32" s="2">
        <f t="shared" ref="GJ32:GJ33" si="100">GJ6-GX6</f>
        <v>0</v>
      </c>
      <c r="GL32" s="2">
        <f t="shared" ref="GL32:GL33" si="101">GL6-GZ6</f>
        <v>0</v>
      </c>
      <c r="GN32" s="2">
        <f>SUM(GD32:GL32)</f>
        <v>12563466.234390307</v>
      </c>
      <c r="GQ32" s="10" t="s">
        <v>39</v>
      </c>
      <c r="GR32" s="2">
        <f t="shared" ref="GR32:GR33" si="102">GR6-HF6</f>
        <v>12335607.675609689</v>
      </c>
      <c r="GS32" s="11"/>
      <c r="GT32" s="2">
        <f t="shared" ref="GT32:GT33" si="103">GT6-HH6</f>
        <v>42816.581699999995</v>
      </c>
      <c r="GV32" s="2">
        <f t="shared" ref="GV32:GV33" si="104">GV6-HJ6</f>
        <v>0</v>
      </c>
      <c r="GX32" s="2">
        <f t="shared" ref="GX32:GX33" si="105">GX6-HL6</f>
        <v>0</v>
      </c>
      <c r="GZ32" s="2">
        <f t="shared" ref="GZ32:GZ33" si="106">GZ6-HN6</f>
        <v>0</v>
      </c>
      <c r="HB32" s="2">
        <f>SUM(GR32:GZ32)</f>
        <v>12378424.25730969</v>
      </c>
      <c r="HE32" s="10" t="s">
        <v>39</v>
      </c>
      <c r="HF32" s="2">
        <f t="shared" ref="HF32:HF33" si="107">HF6-HT6</f>
        <v>5997659.7299999995</v>
      </c>
      <c r="HG32" s="11"/>
      <c r="HH32" s="2">
        <f t="shared" ref="HH32:HH33" si="108">HH6-HV6</f>
        <v>18699.998299999999</v>
      </c>
      <c r="HJ32" s="2">
        <f t="shared" ref="HJ32:HJ33" si="109">HJ6-HX6</f>
        <v>0</v>
      </c>
      <c r="HL32" s="2">
        <f t="shared" ref="HL32:HL33" si="110">HL6-HZ6</f>
        <v>0</v>
      </c>
      <c r="HN32" s="2">
        <f t="shared" ref="HN32:HN33" si="111">HN6-IB6</f>
        <v>0</v>
      </c>
      <c r="HP32" s="2">
        <f>SUM(HF32:HN32)</f>
        <v>6016359.7282999996</v>
      </c>
      <c r="HS32" s="10" t="s">
        <v>39</v>
      </c>
      <c r="HT32" s="2">
        <f t="shared" ref="HT32" si="112">HT6</f>
        <v>10435.66</v>
      </c>
      <c r="HU32" s="11"/>
      <c r="HV32" s="2">
        <f t="shared" ref="HV32" si="113">HV6</f>
        <v>11430.45</v>
      </c>
      <c r="HX32" s="2">
        <f t="shared" ref="HX32:HX33" si="114">HX6</f>
        <v>0</v>
      </c>
      <c r="HZ32" s="2">
        <f t="shared" ref="HZ32:HZ33" si="115">HZ6</f>
        <v>0</v>
      </c>
      <c r="IB32" s="2">
        <f t="shared" ref="IB32:IB33" si="116">IB6</f>
        <v>0</v>
      </c>
      <c r="ID32" s="2">
        <f>SUM(HT32:IB32)</f>
        <v>21866.11</v>
      </c>
      <c r="IG32" s="10" t="s">
        <v>39</v>
      </c>
      <c r="IH32" s="2">
        <f t="shared" ref="IH32:IH33" si="117">IH6-IV6</f>
        <v>110148.93000000005</v>
      </c>
      <c r="II32" s="11"/>
      <c r="IJ32" s="2">
        <f t="shared" ref="IJ32:IJ33" si="118">IJ6-IX6</f>
        <v>24200</v>
      </c>
      <c r="IL32" s="2">
        <f t="shared" ref="IL32:IL33" si="119">IL6-IZ6</f>
        <v>0</v>
      </c>
      <c r="IN32" s="2">
        <f t="shared" ref="IN32:IN33" si="120">IN6-JB6</f>
        <v>0</v>
      </c>
      <c r="IP32" s="2">
        <f t="shared" ref="IP32:IP33" si="121">IP6-JD6</f>
        <v>0</v>
      </c>
      <c r="IR32" s="2">
        <f>SUM(IH32:IP32)</f>
        <v>134348.93000000005</v>
      </c>
      <c r="IU32" s="10" t="s">
        <v>39</v>
      </c>
      <c r="IV32" s="2">
        <f t="shared" ref="IV32:JB33" si="122">IV6-JJ6</f>
        <v>45508.669999999925</v>
      </c>
      <c r="IW32" s="11"/>
      <c r="IX32" s="2">
        <f t="shared" si="122"/>
        <v>577579.03999999992</v>
      </c>
      <c r="IZ32" s="2">
        <f t="shared" si="122"/>
        <v>0</v>
      </c>
      <c r="JB32" s="2">
        <f t="shared" si="122"/>
        <v>0</v>
      </c>
      <c r="JD32" s="2">
        <f t="shared" ref="JD32:JD33" si="123">JD6-JR6</f>
        <v>0</v>
      </c>
      <c r="JF32" s="2">
        <f>SUM(IV32:JD32)</f>
        <v>623087.70999999985</v>
      </c>
      <c r="JI32" s="10" t="s">
        <v>39</v>
      </c>
      <c r="JJ32" s="2">
        <f t="shared" ref="JJ32:JR33" si="124">JJ6-JX6</f>
        <v>30803</v>
      </c>
      <c r="JK32" s="11"/>
      <c r="JL32" s="2">
        <f t="shared" si="124"/>
        <v>276869.52</v>
      </c>
      <c r="JN32" s="2">
        <f t="shared" si="124"/>
        <v>0</v>
      </c>
      <c r="JP32" s="2">
        <f t="shared" si="124"/>
        <v>0</v>
      </c>
      <c r="JR32" s="2">
        <f t="shared" si="124"/>
        <v>0</v>
      </c>
      <c r="JT32" s="2">
        <f>SUM(JJ32:JR32)</f>
        <v>307672.52</v>
      </c>
      <c r="JW32" s="10" t="s">
        <v>39</v>
      </c>
      <c r="JX32" s="2">
        <f t="shared" ref="JX32:JZ33" si="125">JX6</f>
        <v>854178.02</v>
      </c>
      <c r="JY32" s="11"/>
      <c r="JZ32" s="2">
        <f t="shared" si="125"/>
        <v>362207.85</v>
      </c>
      <c r="KB32" s="2">
        <f t="shared" ref="KB32" si="126">KB6</f>
        <v>0</v>
      </c>
      <c r="KD32" s="2">
        <f t="shared" ref="KD32" si="127">KD6</f>
        <v>0</v>
      </c>
      <c r="KF32" s="2">
        <f t="shared" ref="KF32" si="128">KF6</f>
        <v>0</v>
      </c>
      <c r="KH32" s="2">
        <f>SUM(JX32:KF32)</f>
        <v>1216385.8700000001</v>
      </c>
      <c r="KK32" s="10" t="s">
        <v>39</v>
      </c>
      <c r="KL32" s="2">
        <f t="shared" ref="KL32:KL33" si="129">KL6-KZ6</f>
        <v>-36392.28</v>
      </c>
      <c r="KM32" s="11"/>
      <c r="KN32" s="2">
        <f t="shared" ref="KN32:KN33" si="130">KN6-LB6</f>
        <v>96429.409999999916</v>
      </c>
      <c r="KP32" s="2">
        <f t="shared" ref="KP32:KP33" si="131">KP6-LD6</f>
        <v>0</v>
      </c>
      <c r="KR32" s="2">
        <f t="shared" ref="KR32:KR33" si="132">KR6-LF6</f>
        <v>0</v>
      </c>
      <c r="KT32" s="2">
        <f t="shared" ref="KT32:KT33" si="133">KT6-LH6</f>
        <v>0</v>
      </c>
      <c r="KV32" s="2">
        <f>SUM(KL32:KT32)</f>
        <v>60037.129999999917</v>
      </c>
      <c r="KY32" s="10" t="s">
        <v>39</v>
      </c>
      <c r="KZ32" s="2">
        <f t="shared" ref="KZ32:KZ33" si="134">KZ6-LN6</f>
        <v>16489.149999999994</v>
      </c>
      <c r="LA32" s="11"/>
      <c r="LB32" s="2">
        <f t="shared" ref="LB32:LB33" si="135">LB6-LP6</f>
        <v>307892.69999999995</v>
      </c>
      <c r="LD32" s="2">
        <f t="shared" ref="LD32:LD33" si="136">LD6-LR6</f>
        <v>0</v>
      </c>
      <c r="LF32" s="2">
        <f t="shared" ref="LF32:LF33" si="137">LF6-LT6</f>
        <v>0</v>
      </c>
      <c r="LH32" s="2">
        <f t="shared" ref="LH32:LH33" si="138">LH6-LV6</f>
        <v>0</v>
      </c>
      <c r="LJ32" s="2">
        <f>SUM(KZ32:LH32)</f>
        <v>324381.84999999998</v>
      </c>
      <c r="LM32" s="10" t="s">
        <v>39</v>
      </c>
      <c r="LN32" s="2">
        <f t="shared" ref="LN32:LN33" si="139">LN6-MA6</f>
        <v>62805.330000000016</v>
      </c>
      <c r="LO32" s="11"/>
      <c r="LP32" s="2">
        <f t="shared" ref="LP32:LP33" si="140">LP6-MC6</f>
        <v>472716.06000000006</v>
      </c>
      <c r="LR32" s="2">
        <f t="shared" ref="LR32:LR33" si="141">LR6-ME6</f>
        <v>0</v>
      </c>
      <c r="LT32" s="2">
        <f t="shared" ref="LT32:LT33" si="142">LT6-MG6</f>
        <v>0</v>
      </c>
      <c r="LV32" s="2">
        <f t="shared" ref="LV32:LV33" si="143">LV6-MI6</f>
        <v>0</v>
      </c>
      <c r="LX32" s="2">
        <f>SUM(LN32:LV32)</f>
        <v>535521.39000000013</v>
      </c>
      <c r="LZ32" s="10" t="s">
        <v>39</v>
      </c>
      <c r="MA32" s="2">
        <f t="shared" ref="MA32:MA33" si="144">MA6</f>
        <v>141395.35999999999</v>
      </c>
      <c r="MB32" s="11"/>
      <c r="MC32" s="2">
        <f t="shared" ref="MC32:MC33" si="145">MC6</f>
        <v>797815.99</v>
      </c>
      <c r="ME32" s="2">
        <f t="shared" ref="ME32:ME33" si="146">ME6</f>
        <v>0</v>
      </c>
      <c r="MF32" s="61"/>
      <c r="MG32" s="2">
        <f t="shared" ref="MG32:MG33" si="147">MG6</f>
        <v>0</v>
      </c>
      <c r="MI32" s="2">
        <f t="shared" ref="MI32:MI34" si="148">MI6</f>
        <v>0</v>
      </c>
      <c r="MK32" s="2">
        <f t="shared" ref="MK32:MK33" si="149">SUM(MA32:MI32)</f>
        <v>939211.35</v>
      </c>
      <c r="MM32" s="10" t="s">
        <v>39</v>
      </c>
      <c r="MN32" s="2">
        <f t="shared" ref="MN32:MV33" si="150">MN6-NB6</f>
        <v>100708.33000000002</v>
      </c>
      <c r="MO32" s="11"/>
      <c r="MP32" s="2">
        <f t="shared" si="150"/>
        <v>170771.71999999974</v>
      </c>
      <c r="MR32" s="2">
        <f t="shared" si="150"/>
        <v>0</v>
      </c>
      <c r="MT32" s="2">
        <f t="shared" si="150"/>
        <v>0</v>
      </c>
      <c r="MV32" s="2">
        <f t="shared" si="150"/>
        <v>0</v>
      </c>
      <c r="MX32" s="2">
        <f>SUM(MN32:MV32)</f>
        <v>271480.04999999976</v>
      </c>
      <c r="NA32" s="10" t="s">
        <v>39</v>
      </c>
      <c r="NB32" s="2">
        <f t="shared" ref="NB32:NB33" si="151">NB6-NP6</f>
        <v>137331.76</v>
      </c>
      <c r="NC32" s="11"/>
      <c r="ND32" s="2">
        <f t="shared" ref="ND32:ND33" si="152">ND6-NR6</f>
        <v>439669.49</v>
      </c>
      <c r="NF32" s="2">
        <f t="shared" ref="NF32:NF33" si="153">NF6-NT6</f>
        <v>0</v>
      </c>
      <c r="NH32" s="2">
        <f t="shared" ref="NH32:NH33" si="154">NH6-NV6</f>
        <v>0</v>
      </c>
      <c r="NJ32" s="2">
        <f t="shared" ref="NJ32:NJ33" si="155">NJ6-NX6</f>
        <v>0</v>
      </c>
      <c r="NL32" s="2">
        <f>SUM(NB32:NJ32)</f>
        <v>577001.25</v>
      </c>
      <c r="NO32" s="10" t="s">
        <v>39</v>
      </c>
      <c r="NP32" s="2">
        <f t="shared" ref="NP32:NX33" si="156">NP6-OC6</f>
        <v>75424.649999999994</v>
      </c>
      <c r="NQ32" s="11"/>
      <c r="NR32" s="2">
        <f t="shared" si="156"/>
        <v>481159.70000000007</v>
      </c>
      <c r="NT32" s="2">
        <f t="shared" si="156"/>
        <v>0</v>
      </c>
      <c r="NV32" s="2">
        <f t="shared" si="156"/>
        <v>0</v>
      </c>
      <c r="NX32" s="2">
        <f t="shared" si="156"/>
        <v>0</v>
      </c>
      <c r="NZ32" s="2">
        <f>SUM(NP32:NX32)</f>
        <v>556584.35000000009</v>
      </c>
      <c r="OB32" s="10" t="s">
        <v>39</v>
      </c>
      <c r="OC32" s="2">
        <f>OC6</f>
        <v>120947.03</v>
      </c>
      <c r="OD32" s="11"/>
      <c r="OE32" s="2">
        <f>OE6</f>
        <v>597276.57999999996</v>
      </c>
      <c r="OG32" s="2">
        <f>OG6</f>
        <v>0</v>
      </c>
      <c r="OH32" s="61"/>
      <c r="OI32" s="2">
        <f>OI6</f>
        <v>0</v>
      </c>
      <c r="OK32" s="2">
        <f>OK6</f>
        <v>0</v>
      </c>
      <c r="OM32" s="2">
        <f>SUM(OC32:OK32)</f>
        <v>718223.61</v>
      </c>
      <c r="OO32" s="10" t="s">
        <v>39</v>
      </c>
      <c r="OP32" s="2">
        <f>OP6-PC6</f>
        <v>194397.20000000007</v>
      </c>
      <c r="OQ32" s="11"/>
      <c r="OR32" s="2">
        <f>OR6-PE6</f>
        <v>852277.08000000007</v>
      </c>
      <c r="OT32" s="53">
        <f>OT6-PG6</f>
        <v>0</v>
      </c>
      <c r="OV32" s="2">
        <f>OV6-PI6</f>
        <v>0</v>
      </c>
      <c r="OX32" s="2">
        <f>OX6-PK6</f>
        <v>0</v>
      </c>
      <c r="OZ32" s="2">
        <f t="shared" ref="OZ32:OZ33" si="157">SUM(OP32:OX32)</f>
        <v>1046674.2800000001</v>
      </c>
      <c r="PB32" s="10" t="s">
        <v>39</v>
      </c>
      <c r="PC32" s="2">
        <f>PC6-PP6</f>
        <v>79521.729999999981</v>
      </c>
      <c r="PD32" s="11"/>
      <c r="PE32" s="2">
        <f>PE6-PR6</f>
        <v>541184.08999999985</v>
      </c>
      <c r="PG32" s="39">
        <f>PG6-PT6</f>
        <v>0</v>
      </c>
      <c r="PI32" s="2">
        <f>PI6-PV6</f>
        <v>0</v>
      </c>
      <c r="PK32" s="2">
        <f>PK6-PX6</f>
        <v>0</v>
      </c>
      <c r="PM32" s="2">
        <f>SUM(PC32:PK32)</f>
        <v>620705.81999999983</v>
      </c>
      <c r="PO32" s="10" t="s">
        <v>39</v>
      </c>
      <c r="PP32" s="2">
        <f>PP6-QC6</f>
        <v>89842.44</v>
      </c>
      <c r="PQ32" s="11"/>
      <c r="PR32" s="2">
        <f>PR6-QE6</f>
        <v>613159.41000000015</v>
      </c>
      <c r="PT32" s="39">
        <f>PT6-QG6</f>
        <v>0</v>
      </c>
      <c r="PV32" s="2">
        <f>PV6-QI6</f>
        <v>0</v>
      </c>
      <c r="PX32" s="2">
        <f>PX6-QK6</f>
        <v>0</v>
      </c>
      <c r="PZ32" s="2">
        <f>SUM(PP32:PX32)</f>
        <v>703001.85000000009</v>
      </c>
      <c r="QB32" s="10" t="s">
        <v>39</v>
      </c>
      <c r="QC32" s="2">
        <f>QC6-QP6-QT6</f>
        <v>103586.44999999998</v>
      </c>
      <c r="QD32" s="11"/>
      <c r="QE32" s="2">
        <f>QE6-QR6</f>
        <v>667035.5</v>
      </c>
      <c r="QG32" s="39">
        <v>0</v>
      </c>
      <c r="QI32" s="2">
        <f>QI6-QV6</f>
        <v>0</v>
      </c>
      <c r="QK32" s="2">
        <f>QK6-QX6</f>
        <v>0</v>
      </c>
      <c r="QM32" s="2">
        <f>SUM(QC32:QK32)</f>
        <v>770621.95</v>
      </c>
      <c r="QO32" s="10" t="s">
        <v>39</v>
      </c>
      <c r="QP32" s="2">
        <f>QP6-RC6</f>
        <v>0</v>
      </c>
      <c r="QQ32" s="11"/>
      <c r="QR32" s="2">
        <f>QR6-RE6</f>
        <v>386371.33999999997</v>
      </c>
      <c r="QT32" s="2">
        <f>QT6-RG6</f>
        <v>28889.78</v>
      </c>
      <c r="QV32" s="2">
        <f>QV6-RI6</f>
        <v>0</v>
      </c>
      <c r="QX32" s="2">
        <f>QX6-RK6</f>
        <v>0</v>
      </c>
      <c r="QZ32" s="2">
        <f>SUM(QP32:QX32)</f>
        <v>415261.12</v>
      </c>
      <c r="RB32" s="10" t="s">
        <v>39</v>
      </c>
      <c r="RC32" s="2">
        <f>RC6-RP6</f>
        <v>0</v>
      </c>
      <c r="RD32" s="11"/>
      <c r="RE32" s="2">
        <f>RE6-RR6</f>
        <v>443699.6</v>
      </c>
      <c r="RG32" s="2">
        <f>RG6-RT6</f>
        <v>56565.330000000009</v>
      </c>
      <c r="RI32" s="2">
        <f>RI6-RV6</f>
        <v>0</v>
      </c>
      <c r="RK32" s="2">
        <f>RK6-RX6</f>
        <v>0</v>
      </c>
      <c r="RM32" s="2">
        <f>SUM(RC32:RK32)</f>
        <v>500264.93</v>
      </c>
      <c r="RO32" s="10" t="s">
        <v>39</v>
      </c>
      <c r="RP32" s="2">
        <f>RP6</f>
        <v>0</v>
      </c>
      <c r="RQ32" s="11"/>
      <c r="RR32" s="2">
        <f>RR6</f>
        <v>176658</v>
      </c>
      <c r="RT32" s="2">
        <f>RT6</f>
        <v>64067.99</v>
      </c>
      <c r="RV32" s="2">
        <f>RV6</f>
        <v>0</v>
      </c>
      <c r="RX32" s="2">
        <f>RX6</f>
        <v>0</v>
      </c>
      <c r="RZ32" s="2">
        <f>SUM(RP32:RX32)</f>
        <v>240725.99</v>
      </c>
      <c r="SB32" s="10" t="s">
        <v>39</v>
      </c>
      <c r="SC32" s="2">
        <f>SC6-SP6</f>
        <v>0</v>
      </c>
      <c r="SD32" s="11"/>
      <c r="SE32" s="2">
        <f>SE6-SR6</f>
        <v>275212.24000000011</v>
      </c>
      <c r="SG32" s="2">
        <f>SG6-ST6</f>
        <v>104743.56</v>
      </c>
      <c r="SI32" s="2">
        <f>SI6-SV6</f>
        <v>0</v>
      </c>
      <c r="SK32" s="2">
        <f>SK6-SX6</f>
        <v>0</v>
      </c>
      <c r="SM32" s="2">
        <f>SUM(SC32:SK32)</f>
        <v>379955.8000000001</v>
      </c>
      <c r="SO32" s="10" t="s">
        <v>39</v>
      </c>
      <c r="SP32" s="2">
        <f>SP6-TC6</f>
        <v>0</v>
      </c>
      <c r="SQ32" s="11"/>
      <c r="SR32" s="2">
        <f>SR6-TE6</f>
        <v>242588.53000000003</v>
      </c>
      <c r="ST32" s="2">
        <f>ST6-TG6</f>
        <v>141336.68</v>
      </c>
      <c r="SV32" s="2">
        <f>SV6-TI6</f>
        <v>0</v>
      </c>
      <c r="SX32" s="2">
        <f>SX6-TK6</f>
        <v>0</v>
      </c>
      <c r="SZ32" s="2">
        <f>SUM(SP32:SX32)</f>
        <v>383925.21</v>
      </c>
      <c r="TB32" s="10" t="s">
        <v>39</v>
      </c>
      <c r="TC32" s="2">
        <f>TC6-TP6</f>
        <v>0</v>
      </c>
      <c r="TD32" s="11"/>
      <c r="TE32" s="2">
        <f>TE6-TR6</f>
        <v>458144.18</v>
      </c>
      <c r="TG32" s="2">
        <f>TG6-TT6</f>
        <v>17793.71</v>
      </c>
      <c r="TI32" s="2">
        <f>TI6-TV6</f>
        <v>0</v>
      </c>
      <c r="TK32" s="2">
        <f>TK6-TX6</f>
        <v>0</v>
      </c>
      <c r="TM32" s="2">
        <f>SUM(TC32:TK32)</f>
        <v>475937.89</v>
      </c>
      <c r="TO32" s="10" t="s">
        <v>39</v>
      </c>
      <c r="TP32" s="2">
        <f>TP6</f>
        <v>0</v>
      </c>
      <c r="TQ32" s="11"/>
      <c r="TR32" s="2">
        <f>TR6</f>
        <v>147912.93</v>
      </c>
      <c r="TT32" s="2">
        <f>TT6</f>
        <v>37912.29</v>
      </c>
      <c r="TV32" s="2">
        <f>TV6</f>
        <v>0</v>
      </c>
      <c r="TX32" s="2">
        <f>TX6</f>
        <v>0</v>
      </c>
      <c r="TZ32" s="2">
        <f>SUM(TP32:TX32)</f>
        <v>185825.22</v>
      </c>
      <c r="UB32" s="10" t="s">
        <v>39</v>
      </c>
      <c r="UC32" s="2">
        <f>UC6-UP6</f>
        <v>0</v>
      </c>
      <c r="UD32" s="11"/>
      <c r="UE32" s="2">
        <f>UE6-UR6</f>
        <v>28251.899999999907</v>
      </c>
      <c r="UG32" s="2">
        <f>UG6-UT6</f>
        <v>19.799999999988358</v>
      </c>
      <c r="UI32" s="2">
        <f>UI6-UV6</f>
        <v>0</v>
      </c>
      <c r="UK32" s="2">
        <f>UK6-UX6</f>
        <v>0</v>
      </c>
      <c r="UM32" s="2">
        <f>SUM(UC32:UK32)</f>
        <v>28271.699999999895</v>
      </c>
      <c r="UO32" s="10" t="s">
        <v>39</v>
      </c>
      <c r="UP32" s="2">
        <f>UP6-VC6</f>
        <v>0</v>
      </c>
      <c r="UQ32" s="11"/>
      <c r="UR32" s="2">
        <f>UR6-VE6</f>
        <v>623682.16</v>
      </c>
      <c r="UT32" s="2">
        <f>UT6-VG6</f>
        <v>91255.910000000018</v>
      </c>
      <c r="UV32" s="2">
        <f>UV6-VI6</f>
        <v>0</v>
      </c>
      <c r="UX32" s="2">
        <f>UX6-VK6</f>
        <v>0</v>
      </c>
      <c r="UZ32" s="2">
        <f>SUM(UP32:UX32)</f>
        <v>714938.07000000007</v>
      </c>
      <c r="VB32" s="10" t="s">
        <v>39</v>
      </c>
      <c r="VC32" s="2">
        <f>VC6-VP6</f>
        <v>-2180</v>
      </c>
      <c r="VD32" s="11"/>
      <c r="VE32" s="2">
        <f>VE6-VR6</f>
        <v>49554.11</v>
      </c>
      <c r="VG32" s="2">
        <f>VG6-VT6</f>
        <v>54518.06</v>
      </c>
      <c r="VI32" s="2">
        <f>VI6-VV6</f>
        <v>0</v>
      </c>
      <c r="VK32" s="2">
        <f>VK6-VX6</f>
        <v>0</v>
      </c>
      <c r="VM32" s="2">
        <f>SUM(VC32:VK32)</f>
        <v>101892.17</v>
      </c>
      <c r="VO32" s="10" t="s">
        <v>39</v>
      </c>
      <c r="VP32" s="2">
        <f>VP6</f>
        <v>46180</v>
      </c>
      <c r="VQ32" s="11"/>
      <c r="VR32" s="2">
        <f>VR6</f>
        <v>0</v>
      </c>
      <c r="VT32" s="2">
        <f>VT6</f>
        <v>11367.699999999999</v>
      </c>
      <c r="VV32" s="2">
        <f>VV6</f>
        <v>0</v>
      </c>
      <c r="VX32" s="2">
        <f>VX6</f>
        <v>0</v>
      </c>
      <c r="VZ32" s="2">
        <f>SUM(VP32:VX32)</f>
        <v>57547.7</v>
      </c>
      <c r="WB32" s="10" t="s">
        <v>39</v>
      </c>
      <c r="WC32" s="2">
        <f>WC6-WP6</f>
        <v>0</v>
      </c>
      <c r="WD32" s="11"/>
      <c r="WE32" s="2">
        <f>WE6-WR6</f>
        <v>0</v>
      </c>
      <c r="WG32" s="2">
        <f>WG6-WT6</f>
        <v>459758.24</v>
      </c>
      <c r="WI32" s="2">
        <f>WI6-WV6</f>
        <v>0</v>
      </c>
      <c r="WK32" s="2">
        <f>WK6-WX6</f>
        <v>0</v>
      </c>
      <c r="WM32" s="2">
        <f>SUM(WC32:WK32)</f>
        <v>459758.24</v>
      </c>
      <c r="WO32" s="10" t="s">
        <v>39</v>
      </c>
      <c r="WP32" s="2">
        <f>WP6-XC6</f>
        <v>0</v>
      </c>
      <c r="WQ32" s="11"/>
      <c r="WR32" s="2">
        <f>WR6-XE6</f>
        <v>0</v>
      </c>
      <c r="WT32" s="2">
        <f>WT6-XG6</f>
        <v>0</v>
      </c>
      <c r="WV32" s="2">
        <f>WV6-XI6</f>
        <v>0</v>
      </c>
      <c r="WX32" s="2">
        <f>WX6-XK6</f>
        <v>0</v>
      </c>
      <c r="WZ32" s="2">
        <f>SUM(WP32:WX32)</f>
        <v>0</v>
      </c>
      <c r="XB32" s="10" t="s">
        <v>39</v>
      </c>
      <c r="XC32" s="2">
        <f>XC6-XP6</f>
        <v>0</v>
      </c>
      <c r="XD32" s="11"/>
      <c r="XE32" s="2">
        <f>XE6-XR6</f>
        <v>0</v>
      </c>
      <c r="XG32" s="2">
        <f>XG6-XT6</f>
        <v>-65576.61</v>
      </c>
      <c r="XI32" s="2">
        <f>XI6-XV6</f>
        <v>0</v>
      </c>
      <c r="XK32" s="2">
        <f>XK6-XX6</f>
        <v>0</v>
      </c>
      <c r="XM32" s="2">
        <f>SUM(XC32:XK32)</f>
        <v>-65576.61</v>
      </c>
      <c r="XO32" s="10" t="s">
        <v>39</v>
      </c>
      <c r="XP32" s="2">
        <f>XP6</f>
        <v>0</v>
      </c>
      <c r="XQ32" s="11"/>
      <c r="XR32" s="2">
        <f>XR6</f>
        <v>0</v>
      </c>
      <c r="XT32" s="2">
        <f>XT6</f>
        <v>65576.61</v>
      </c>
      <c r="XV32" s="2">
        <f>XV6</f>
        <v>0</v>
      </c>
      <c r="XX32" s="2">
        <f>XX6</f>
        <v>0</v>
      </c>
      <c r="XZ32" s="2">
        <f>SUM(XP32:XX32)</f>
        <v>65576.61</v>
      </c>
      <c r="YB32" s="10" t="s">
        <v>39</v>
      </c>
      <c r="YC32" s="2">
        <f>YC6-YP6</f>
        <v>0</v>
      </c>
      <c r="YD32" s="11"/>
      <c r="YE32" s="2">
        <f>YE6-YR6</f>
        <v>0</v>
      </c>
      <c r="YG32" s="2">
        <f>YG6-YT6</f>
        <v>129738.63</v>
      </c>
      <c r="YI32" s="2">
        <f>YI6-YV6</f>
        <v>0</v>
      </c>
      <c r="YK32" s="2">
        <f>YK6-YX6</f>
        <v>0</v>
      </c>
      <c r="YM32" s="2">
        <f>SUM(YC32:YK32)</f>
        <v>129738.63</v>
      </c>
      <c r="YO32" s="10"/>
      <c r="YP32" s="2"/>
      <c r="YQ32" s="11"/>
    </row>
    <row r="33" spans="1:676">
      <c r="A33" s="10" t="s">
        <v>40</v>
      </c>
      <c r="B33" s="2">
        <f t="shared" si="55"/>
        <v>258798.31999999995</v>
      </c>
      <c r="C33" s="11"/>
      <c r="D33" s="2">
        <f t="shared" si="56"/>
        <v>1103675.73</v>
      </c>
      <c r="F33" s="2">
        <f t="shared" si="57"/>
        <v>0</v>
      </c>
      <c r="H33" s="2">
        <f t="shared" si="53"/>
        <v>0</v>
      </c>
      <c r="J33" s="2">
        <f t="shared" si="58"/>
        <v>386700</v>
      </c>
      <c r="L33" s="2">
        <f t="shared" si="59"/>
        <v>-1749174.0499999998</v>
      </c>
      <c r="N33" s="2">
        <f t="shared" si="60"/>
        <v>0</v>
      </c>
      <c r="Q33" s="10" t="s">
        <v>40</v>
      </c>
      <c r="R33" s="2">
        <f t="shared" si="61"/>
        <v>263735.78999999998</v>
      </c>
      <c r="S33" s="11"/>
      <c r="T33" s="2">
        <f t="shared" si="62"/>
        <v>358713.98</v>
      </c>
      <c r="V33" s="2">
        <f t="shared" si="63"/>
        <v>0</v>
      </c>
      <c r="W33" s="2"/>
      <c r="X33" s="2">
        <f t="shared" si="54"/>
        <v>0</v>
      </c>
      <c r="Z33" s="2">
        <f t="shared" si="64"/>
        <v>386700</v>
      </c>
      <c r="AB33" s="2">
        <f t="shared" si="65"/>
        <v>-1009149.7700000003</v>
      </c>
      <c r="AD33" s="48">
        <f t="shared" si="66"/>
        <v>0</v>
      </c>
      <c r="AG33" s="10" t="s">
        <v>40</v>
      </c>
      <c r="AH33" s="2">
        <f t="shared" si="67"/>
        <v>176879.04000000004</v>
      </c>
      <c r="AI33" s="11"/>
      <c r="AJ33" s="2">
        <f t="shared" si="68"/>
        <v>505044.83999999991</v>
      </c>
      <c r="AL33" s="2">
        <f t="shared" si="69"/>
        <v>0</v>
      </c>
      <c r="AM33" s="2"/>
      <c r="AN33" s="2">
        <f t="shared" si="70"/>
        <v>0</v>
      </c>
      <c r="AP33" s="2">
        <f t="shared" si="71"/>
        <v>386700</v>
      </c>
      <c r="AR33" s="2">
        <f t="shared" si="72"/>
        <v>-1068623.8799999999</v>
      </c>
      <c r="AT33" s="48">
        <f t="shared" si="73"/>
        <v>0</v>
      </c>
      <c r="AW33" s="10" t="s">
        <v>40</v>
      </c>
      <c r="AX33" s="2">
        <f t="shared" ref="AX33:AZ33" si="158">AX7</f>
        <v>126997.8</v>
      </c>
      <c r="AY33" s="11"/>
      <c r="AZ33" s="2">
        <f t="shared" si="158"/>
        <v>460484.33</v>
      </c>
      <c r="BB33" s="2">
        <f t="shared" ref="BB33" si="159">BB7</f>
        <v>0</v>
      </c>
      <c r="BC33" s="2"/>
      <c r="BD33" s="2">
        <f t="shared" ref="BD33" si="160">BD7</f>
        <v>0</v>
      </c>
      <c r="BF33" s="2">
        <f t="shared" ref="BF33" si="161">BF7</f>
        <v>386700</v>
      </c>
      <c r="BH33" s="2">
        <f t="shared" ref="BH33" si="162">BH7</f>
        <v>-974182.13</v>
      </c>
      <c r="BJ33" s="2">
        <f>SUM(AX33:BH33)</f>
        <v>0</v>
      </c>
      <c r="BM33" s="10" t="s">
        <v>40</v>
      </c>
      <c r="BN33" s="2">
        <f t="shared" si="79"/>
        <v>0</v>
      </c>
      <c r="BO33" s="11"/>
      <c r="BP33" s="2">
        <f t="shared" si="80"/>
        <v>369193.73</v>
      </c>
      <c r="BR33" s="2">
        <f t="shared" si="81"/>
        <v>0</v>
      </c>
      <c r="BT33" s="2">
        <f t="shared" si="82"/>
        <v>0</v>
      </c>
      <c r="BV33" s="2">
        <f t="shared" si="83"/>
        <v>386700</v>
      </c>
      <c r="BX33" s="2">
        <f t="shared" si="84"/>
        <v>-755893.73</v>
      </c>
      <c r="BZ33" s="2">
        <f>SUM(BN33:BX33)</f>
        <v>0</v>
      </c>
      <c r="CC33" s="10" t="s">
        <v>40</v>
      </c>
      <c r="CD33" s="2">
        <f>CD7-CT7</f>
        <v>1677.4700000000012</v>
      </c>
      <c r="CE33" s="11"/>
      <c r="CF33" s="2">
        <f>CF7-CV7</f>
        <v>455150.13</v>
      </c>
      <c r="CH33" s="2">
        <f>CH7-CX7</f>
        <v>0</v>
      </c>
      <c r="CI33" s="2"/>
      <c r="CJ33" s="2">
        <f>CJ7-CZ7</f>
        <v>0</v>
      </c>
      <c r="CL33" s="2">
        <f>CL7-DB7</f>
        <v>386700</v>
      </c>
      <c r="CN33" s="2">
        <f>CN7-DD7</f>
        <v>-843527.59999999963</v>
      </c>
      <c r="CP33" s="2">
        <f>SUM(CD33:CN33)</f>
        <v>0</v>
      </c>
      <c r="CS33" s="10" t="s">
        <v>40</v>
      </c>
      <c r="CT33" s="2">
        <f>CT7-DJ7</f>
        <v>6335.1699999999837</v>
      </c>
      <c r="CU33" s="11"/>
      <c r="CV33" s="2">
        <f>CV7-DL7</f>
        <v>375995.59</v>
      </c>
      <c r="CX33" s="2">
        <f>CX7-DN7</f>
        <v>0</v>
      </c>
      <c r="CY33" s="2"/>
      <c r="CZ33" s="2">
        <f>CZ7-DP7</f>
        <v>0</v>
      </c>
      <c r="DB33" s="2">
        <f>DB7-DR7</f>
        <v>386700</v>
      </c>
      <c r="DD33" s="2">
        <f>DD7-DT7</f>
        <v>-769030.75999999989</v>
      </c>
      <c r="DF33" s="2">
        <f>SUM(CT33:DD33)</f>
        <v>0</v>
      </c>
      <c r="DI33" s="10" t="s">
        <v>40</v>
      </c>
      <c r="DJ33" s="2">
        <f t="shared" si="85"/>
        <v>228504.14</v>
      </c>
      <c r="DK33" s="11"/>
      <c r="DL33" s="2">
        <f t="shared" ref="DL33" si="163">DL7</f>
        <v>356135.31</v>
      </c>
      <c r="DN33" s="2">
        <f t="shared" ref="DN33" si="164">DN7</f>
        <v>0</v>
      </c>
      <c r="DO33" s="2"/>
      <c r="DP33" s="2">
        <f t="shared" ref="DP33" si="165">DP7</f>
        <v>0</v>
      </c>
      <c r="DR33" s="2">
        <f t="shared" ref="DR33" si="166">DR7</f>
        <v>382500</v>
      </c>
      <c r="DT33" s="2">
        <f t="shared" ref="DT33" si="167">DT7</f>
        <v>-967139.45000000007</v>
      </c>
      <c r="DV33" s="2">
        <f>SUM(DJ33:DT33)</f>
        <v>0</v>
      </c>
      <c r="DY33" s="10" t="s">
        <v>40</v>
      </c>
      <c r="DZ33" s="2">
        <f t="shared" si="91"/>
        <v>-13159.539999999979</v>
      </c>
      <c r="EA33" s="11"/>
      <c r="EB33" s="2">
        <f t="shared" si="91"/>
        <v>389004.07000000007</v>
      </c>
      <c r="ED33" s="2">
        <f t="shared" si="91"/>
        <v>0</v>
      </c>
      <c r="EF33" s="2">
        <f t="shared" si="91"/>
        <v>382500</v>
      </c>
      <c r="EH33" s="2">
        <f t="shared" si="91"/>
        <v>-758344.53000000073</v>
      </c>
      <c r="EJ33" s="2">
        <f>SUM(DZ33:EH33)</f>
        <v>0</v>
      </c>
      <c r="EM33" s="10" t="s">
        <v>40</v>
      </c>
      <c r="EN33" s="2">
        <f t="shared" si="92"/>
        <v>374106.52798399999</v>
      </c>
      <c r="EO33" s="11"/>
      <c r="EP33" s="2">
        <f t="shared" si="92"/>
        <v>827434.27999999991</v>
      </c>
      <c r="ER33" s="2">
        <f t="shared" si="92"/>
        <v>0</v>
      </c>
      <c r="ET33" s="2">
        <f t="shared" si="92"/>
        <v>303606.95999999996</v>
      </c>
      <c r="EV33" s="2">
        <f t="shared" si="92"/>
        <v>-1505147.7679839996</v>
      </c>
      <c r="EX33" s="2">
        <f>SUM(EN33:EV33)</f>
        <v>0</v>
      </c>
      <c r="FA33" s="10" t="s">
        <v>40</v>
      </c>
      <c r="FB33" s="2">
        <f>FB7-FP7</f>
        <v>73519.512015999993</v>
      </c>
      <c r="FC33" s="11"/>
      <c r="FD33" s="2">
        <f>FD7-FR7</f>
        <v>328045.08999999997</v>
      </c>
      <c r="FF33" s="2">
        <f>FF7-FT7</f>
        <v>0</v>
      </c>
      <c r="FH33" s="2">
        <f>FH7-FV7</f>
        <v>411020.53</v>
      </c>
      <c r="FJ33" s="2">
        <f>FJ7-FX7</f>
        <v>-812585.13201599999</v>
      </c>
      <c r="FL33" s="2">
        <f>SUM(FB33:FJ33)</f>
        <v>0</v>
      </c>
      <c r="FO33" s="10" t="s">
        <v>40</v>
      </c>
      <c r="FP33" s="2">
        <f t="shared" si="93"/>
        <v>0</v>
      </c>
      <c r="FQ33" s="11"/>
      <c r="FR33" s="2">
        <f t="shared" si="94"/>
        <v>253033.30000000002</v>
      </c>
      <c r="FT33" s="2">
        <f t="shared" si="94"/>
        <v>0</v>
      </c>
      <c r="FV33" s="2">
        <f t="shared" ref="FV33" si="168">FV7</f>
        <v>432872.51</v>
      </c>
      <c r="FX33" s="2">
        <f t="shared" ref="FX33" si="169">FX7</f>
        <v>-685905.80999999994</v>
      </c>
      <c r="FZ33" s="2">
        <f>SUM(FP33:FX33)</f>
        <v>0</v>
      </c>
      <c r="GC33" s="10" t="s">
        <v>40</v>
      </c>
      <c r="GD33" s="2">
        <f t="shared" si="97"/>
        <v>0</v>
      </c>
      <c r="GE33" s="11"/>
      <c r="GF33" s="2">
        <f t="shared" si="98"/>
        <v>268687.71999999997</v>
      </c>
      <c r="GH33" s="2">
        <f t="shared" si="99"/>
        <v>0</v>
      </c>
      <c r="GJ33" s="2">
        <f t="shared" si="100"/>
        <v>432081.04000000004</v>
      </c>
      <c r="GL33" s="2">
        <f t="shared" si="101"/>
        <v>-700768.76000000024</v>
      </c>
      <c r="GN33" s="2">
        <f>SUM(GD33:GL33)</f>
        <v>0</v>
      </c>
      <c r="GQ33" s="10" t="s">
        <v>40</v>
      </c>
      <c r="GR33" s="2">
        <f t="shared" si="102"/>
        <v>1279284.78</v>
      </c>
      <c r="GS33" s="11"/>
      <c r="GT33" s="2">
        <f t="shared" si="103"/>
        <v>265333.66999999993</v>
      </c>
      <c r="GV33" s="2">
        <f t="shared" si="104"/>
        <v>0</v>
      </c>
      <c r="GX33" s="2">
        <f t="shared" si="105"/>
        <v>482808.12999999989</v>
      </c>
      <c r="GZ33" s="2">
        <f t="shared" si="106"/>
        <v>-2027426.5799999996</v>
      </c>
      <c r="HB33" s="2">
        <f>SUM(GR33:GZ33)</f>
        <v>0</v>
      </c>
      <c r="HE33" s="10" t="s">
        <v>40</v>
      </c>
      <c r="HF33" s="2">
        <f t="shared" si="107"/>
        <v>0</v>
      </c>
      <c r="HG33" s="11"/>
      <c r="HH33" s="2">
        <f t="shared" si="108"/>
        <v>1021009.2200000001</v>
      </c>
      <c r="HJ33" s="2">
        <f t="shared" si="109"/>
        <v>0</v>
      </c>
      <c r="HL33" s="2">
        <f t="shared" si="110"/>
        <v>489088.79000000004</v>
      </c>
      <c r="HN33" s="2">
        <f t="shared" si="111"/>
        <v>-1510098.0099999998</v>
      </c>
      <c r="HP33" s="2">
        <f>SUM(HF33:HN33)</f>
        <v>0</v>
      </c>
      <c r="HS33" s="10" t="s">
        <v>40</v>
      </c>
      <c r="HT33" s="2">
        <f t="shared" ref="HT33" si="170">HT7</f>
        <v>0</v>
      </c>
      <c r="HU33" s="11"/>
      <c r="HV33" s="2">
        <f t="shared" ref="HV33" si="171">HV7</f>
        <v>245401.62</v>
      </c>
      <c r="HX33" s="2">
        <f t="shared" si="114"/>
        <v>0</v>
      </c>
      <c r="HZ33" s="2">
        <f t="shared" si="115"/>
        <v>411000</v>
      </c>
      <c r="IB33" s="2">
        <f t="shared" si="116"/>
        <v>-656401.62</v>
      </c>
      <c r="ID33" s="2">
        <f>SUM(HT33:IB33)</f>
        <v>0</v>
      </c>
      <c r="IG33" s="10" t="s">
        <v>40</v>
      </c>
      <c r="IH33" s="2">
        <f t="shared" si="117"/>
        <v>0</v>
      </c>
      <c r="II33" s="11"/>
      <c r="IJ33" s="2">
        <f t="shared" si="118"/>
        <v>241652.87000000011</v>
      </c>
      <c r="IL33" s="2">
        <f t="shared" si="119"/>
        <v>0</v>
      </c>
      <c r="IN33" s="2">
        <f t="shared" si="120"/>
        <v>411000</v>
      </c>
      <c r="IP33" s="2">
        <f t="shared" si="121"/>
        <v>-652652.87000000011</v>
      </c>
      <c r="IR33" s="2">
        <f>SUM(IH33:IP33)</f>
        <v>0</v>
      </c>
      <c r="IU33" s="10" t="s">
        <v>40</v>
      </c>
      <c r="IV33" s="2">
        <f t="shared" si="122"/>
        <v>0</v>
      </c>
      <c r="IW33" s="11"/>
      <c r="IX33" s="2">
        <f t="shared" si="122"/>
        <v>237044.21000000002</v>
      </c>
      <c r="IZ33" s="2">
        <f t="shared" si="122"/>
        <v>0</v>
      </c>
      <c r="JB33" s="2">
        <f t="shared" si="122"/>
        <v>411000</v>
      </c>
      <c r="JD33" s="2">
        <f t="shared" si="123"/>
        <v>-648044.21</v>
      </c>
      <c r="JF33" s="2">
        <f>SUM(IV33:JD33)</f>
        <v>0</v>
      </c>
      <c r="JI33" s="10" t="s">
        <v>40</v>
      </c>
      <c r="JJ33" s="2">
        <f t="shared" si="124"/>
        <v>0</v>
      </c>
      <c r="JK33" s="11"/>
      <c r="JL33" s="2">
        <f t="shared" si="124"/>
        <v>266963.29000000004</v>
      </c>
      <c r="JN33" s="2">
        <f t="shared" si="124"/>
        <v>0</v>
      </c>
      <c r="JP33" s="2">
        <f t="shared" si="124"/>
        <v>411000</v>
      </c>
      <c r="JR33" s="2">
        <f t="shared" si="124"/>
        <v>-599138</v>
      </c>
      <c r="JT33" s="2">
        <f>SUM(JJ33:JR33)</f>
        <v>78825.290000000037</v>
      </c>
      <c r="JW33" s="10" t="s">
        <v>40</v>
      </c>
      <c r="JX33" s="2">
        <f t="shared" si="125"/>
        <v>0</v>
      </c>
      <c r="JY33" s="11"/>
      <c r="JZ33" s="2">
        <f t="shared" si="125"/>
        <v>236687.27</v>
      </c>
      <c r="KB33" s="2">
        <f t="shared" ref="KB33" si="172">KB7</f>
        <v>0</v>
      </c>
      <c r="KD33" s="2">
        <f t="shared" ref="KD33" si="173">KD7</f>
        <v>411000</v>
      </c>
      <c r="KF33" s="2">
        <f t="shared" ref="KF33" si="174">KF7</f>
        <v>-726512.56</v>
      </c>
      <c r="KH33" s="2">
        <f>SUM(JX33:KF33)</f>
        <v>-78825.290000000037</v>
      </c>
      <c r="KK33" s="10" t="s">
        <v>40</v>
      </c>
      <c r="KL33" s="2">
        <f t="shared" si="129"/>
        <v>0</v>
      </c>
      <c r="KM33" s="11"/>
      <c r="KN33" s="2">
        <f t="shared" si="130"/>
        <v>260417.3899999999</v>
      </c>
      <c r="KP33" s="2">
        <f t="shared" si="131"/>
        <v>0</v>
      </c>
      <c r="KR33" s="2">
        <f t="shared" si="132"/>
        <v>136500</v>
      </c>
      <c r="KT33" s="2">
        <f t="shared" si="133"/>
        <v>-396917.39000000013</v>
      </c>
      <c r="KV33" s="2">
        <f>SUM(KL33:KT33)</f>
        <v>0</v>
      </c>
      <c r="KY33" s="10" t="s">
        <v>40</v>
      </c>
      <c r="KZ33" s="2">
        <f t="shared" si="134"/>
        <v>0</v>
      </c>
      <c r="LA33" s="11"/>
      <c r="LB33" s="2">
        <f t="shared" si="135"/>
        <v>234642.92000000004</v>
      </c>
      <c r="LD33" s="2">
        <f t="shared" si="136"/>
        <v>0</v>
      </c>
      <c r="LF33" s="2">
        <f t="shared" si="137"/>
        <v>502500</v>
      </c>
      <c r="LH33" s="2">
        <f t="shared" si="138"/>
        <v>-737142.91999999993</v>
      </c>
      <c r="LJ33" s="2">
        <f>SUM(KZ33:LH33)</f>
        <v>0</v>
      </c>
      <c r="LM33" s="10" t="s">
        <v>40</v>
      </c>
      <c r="LN33" s="2">
        <f t="shared" si="139"/>
        <v>0</v>
      </c>
      <c r="LO33" s="11"/>
      <c r="LP33" s="2">
        <f t="shared" si="140"/>
        <v>242953.74</v>
      </c>
      <c r="LR33" s="2">
        <f t="shared" si="141"/>
        <v>0</v>
      </c>
      <c r="LT33" s="2">
        <f t="shared" si="142"/>
        <v>502500</v>
      </c>
      <c r="LV33" s="2">
        <f t="shared" si="143"/>
        <v>-745453.74000000011</v>
      </c>
      <c r="LX33" s="2">
        <f>SUM(LN33:LV33)</f>
        <v>0</v>
      </c>
      <c r="LZ33" s="10" t="s">
        <v>40</v>
      </c>
      <c r="MA33" s="2">
        <f t="shared" si="144"/>
        <v>0</v>
      </c>
      <c r="MB33" s="11"/>
      <c r="MC33" s="2">
        <f t="shared" si="145"/>
        <v>307449.08999999997</v>
      </c>
      <c r="ME33" s="2">
        <f t="shared" si="146"/>
        <v>0</v>
      </c>
      <c r="MF33" s="61"/>
      <c r="MG33" s="2">
        <f t="shared" si="147"/>
        <v>502500</v>
      </c>
      <c r="MI33" s="2">
        <f t="shared" si="148"/>
        <v>-809949.09</v>
      </c>
      <c r="MK33" s="2">
        <f t="shared" si="149"/>
        <v>0</v>
      </c>
      <c r="MM33" s="10" t="s">
        <v>40</v>
      </c>
      <c r="MN33" s="2">
        <f t="shared" si="150"/>
        <v>0</v>
      </c>
      <c r="MO33" s="11"/>
      <c r="MP33" s="2">
        <f t="shared" si="150"/>
        <v>230908.18999999994</v>
      </c>
      <c r="MR33" s="2">
        <f t="shared" si="150"/>
        <v>0</v>
      </c>
      <c r="MT33" s="2">
        <f t="shared" si="150"/>
        <v>502500</v>
      </c>
      <c r="MV33" s="2">
        <f t="shared" si="150"/>
        <v>-733408.19</v>
      </c>
      <c r="MX33" s="2">
        <f>SUM(MN33:MV33)</f>
        <v>0</v>
      </c>
      <c r="NA33" s="10" t="s">
        <v>40</v>
      </c>
      <c r="NB33" s="2">
        <f t="shared" si="151"/>
        <v>0</v>
      </c>
      <c r="NC33" s="11"/>
      <c r="ND33" s="2">
        <f t="shared" si="152"/>
        <v>249294.39</v>
      </c>
      <c r="NF33" s="2">
        <f t="shared" si="153"/>
        <v>0</v>
      </c>
      <c r="NH33" s="2">
        <f t="shared" si="154"/>
        <v>502500</v>
      </c>
      <c r="NJ33" s="2">
        <f t="shared" si="155"/>
        <v>-751794.39000000013</v>
      </c>
      <c r="NL33" s="2">
        <f>SUM(NB33:NJ33)</f>
        <v>0</v>
      </c>
      <c r="NO33" s="10" t="s">
        <v>40</v>
      </c>
      <c r="NP33" s="2">
        <f t="shared" si="156"/>
        <v>0</v>
      </c>
      <c r="NQ33" s="11"/>
      <c r="NR33" s="2">
        <f t="shared" si="156"/>
        <v>196856.06000000006</v>
      </c>
      <c r="NT33" s="2">
        <f t="shared" si="156"/>
        <v>0</v>
      </c>
      <c r="NV33" s="2">
        <f t="shared" si="156"/>
        <v>444000</v>
      </c>
      <c r="NX33" s="2">
        <f t="shared" si="156"/>
        <v>-640856.05999999994</v>
      </c>
      <c r="NZ33" s="2">
        <f>SUM(NP33:NX33)</f>
        <v>0</v>
      </c>
      <c r="OB33" s="10" t="s">
        <v>40</v>
      </c>
      <c r="OC33" s="2">
        <f>OC7</f>
        <v>0</v>
      </c>
      <c r="OD33" s="11"/>
      <c r="OE33" s="2">
        <f>OE7</f>
        <v>253847.58999999997</v>
      </c>
      <c r="OG33" s="2">
        <f>OG7</f>
        <v>0</v>
      </c>
      <c r="OH33" s="61"/>
      <c r="OI33" s="2">
        <f>OI7</f>
        <v>561000</v>
      </c>
      <c r="OK33" s="2">
        <f>OK7</f>
        <v>-814847.59</v>
      </c>
      <c r="OM33" s="2">
        <f>SUM(OC33:OK33)</f>
        <v>0</v>
      </c>
      <c r="OO33" s="10" t="s">
        <v>40</v>
      </c>
      <c r="OP33" s="2">
        <f>OP7-PC7</f>
        <v>0</v>
      </c>
      <c r="OQ33" s="11"/>
      <c r="OR33" s="2">
        <f>OR7-PE7+226860</f>
        <v>527267.62999999989</v>
      </c>
      <c r="OT33" s="53">
        <f>OT7-PG7</f>
        <v>0</v>
      </c>
      <c r="OV33" s="2">
        <f>OV7-PI7</f>
        <v>-429000</v>
      </c>
      <c r="OX33" s="2">
        <f>OX7-PK7-226860</f>
        <v>-98267.629999999888</v>
      </c>
      <c r="OZ33" s="2">
        <f t="shared" si="157"/>
        <v>0</v>
      </c>
      <c r="PB33" s="10" t="s">
        <v>40</v>
      </c>
      <c r="PC33" s="2">
        <f>PC7-PP7</f>
        <v>0</v>
      </c>
      <c r="PD33" s="11"/>
      <c r="PE33" s="2">
        <f>PE7-PR7</f>
        <v>504254.29999999981</v>
      </c>
      <c r="PG33" s="39">
        <f>PG7-PT7</f>
        <v>0</v>
      </c>
      <c r="PI33" s="2">
        <f>PI7-PV7</f>
        <v>771000</v>
      </c>
      <c r="PK33" s="2">
        <f>PK7-PX7</f>
        <v>-1275254.2999999998</v>
      </c>
      <c r="PM33" s="2">
        <f>SUM(PC33:PK33)</f>
        <v>0</v>
      </c>
      <c r="PO33" s="10" t="s">
        <v>40</v>
      </c>
      <c r="PP33" s="2">
        <f>PP7-QC7</f>
        <v>0</v>
      </c>
      <c r="PQ33" s="11"/>
      <c r="PR33" s="2">
        <f>PR7-QE7</f>
        <v>456273.9600000002</v>
      </c>
      <c r="PT33" s="39">
        <f>PT7-QG7</f>
        <v>0</v>
      </c>
      <c r="PV33" s="2">
        <f>PV7-QI7</f>
        <v>771000</v>
      </c>
      <c r="PX33" s="2">
        <f>PX7-QK7</f>
        <v>-1227273.96</v>
      </c>
      <c r="PZ33" s="2">
        <f>SUM(PP33:PX33)</f>
        <v>0</v>
      </c>
      <c r="QB33" s="10" t="s">
        <v>40</v>
      </c>
      <c r="QC33" s="2">
        <f>QC7-QP7-QT7</f>
        <v>0</v>
      </c>
      <c r="QD33" s="11"/>
      <c r="QE33" s="2">
        <f>QE7-QR7</f>
        <v>225309.27000000002</v>
      </c>
      <c r="QG33" s="39">
        <v>0</v>
      </c>
      <c r="QI33" s="2">
        <f>QI7-QV7</f>
        <v>861000</v>
      </c>
      <c r="QK33" s="2">
        <f>QK7-QX7</f>
        <v>-1086309.2699999996</v>
      </c>
      <c r="QM33" s="2">
        <f>SUM(QC33:QK33)</f>
        <v>0</v>
      </c>
      <c r="QO33" s="10" t="s">
        <v>40</v>
      </c>
      <c r="QP33" s="2">
        <f>QP7-RC7</f>
        <v>0</v>
      </c>
      <c r="QQ33" s="11"/>
      <c r="QR33" s="2">
        <f>QR7-RE7</f>
        <v>132518.67999999993</v>
      </c>
      <c r="QT33" s="2">
        <f>QT7-RG7</f>
        <v>0</v>
      </c>
      <c r="QV33" s="2">
        <f>QV7-RI7</f>
        <v>861000</v>
      </c>
      <c r="QX33" s="2">
        <f>QX7-RK7</f>
        <v>-993518.68000000063</v>
      </c>
      <c r="QZ33" s="2">
        <f>SUM(QP33:QX33)</f>
        <v>0</v>
      </c>
      <c r="RB33" s="10" t="s">
        <v>40</v>
      </c>
      <c r="RC33" s="2">
        <f>RC7-RP7</f>
        <v>0</v>
      </c>
      <c r="RD33" s="11"/>
      <c r="RE33" s="2">
        <f>RE7-RR7</f>
        <v>1619286.5</v>
      </c>
      <c r="RG33" s="2">
        <f>RG7-RT7</f>
        <v>0</v>
      </c>
      <c r="RI33" s="2">
        <f>RI7-RV7</f>
        <v>861000</v>
      </c>
      <c r="RK33" s="2">
        <f>RK7-RX7</f>
        <v>-2480286.5</v>
      </c>
      <c r="RM33" s="2">
        <f>SUM(RC33:RK33)</f>
        <v>0</v>
      </c>
      <c r="RO33" s="10" t="s">
        <v>40</v>
      </c>
      <c r="RP33" s="2">
        <f>RP7</f>
        <v>0</v>
      </c>
      <c r="RQ33" s="11"/>
      <c r="RR33" s="2">
        <f>RR7</f>
        <v>0</v>
      </c>
      <c r="RT33" s="2">
        <f>RT7</f>
        <v>0</v>
      </c>
      <c r="RV33" s="2">
        <f>RV7</f>
        <v>861000</v>
      </c>
      <c r="RX33" s="2">
        <f>RX7</f>
        <v>-861000</v>
      </c>
      <c r="RZ33" s="2">
        <f>SUM(RP33:RX33)</f>
        <v>0</v>
      </c>
      <c r="SB33" s="10" t="s">
        <v>40</v>
      </c>
      <c r="SC33" s="2">
        <f>SC7-SP7</f>
        <v>0</v>
      </c>
      <c r="SD33" s="11"/>
      <c r="SE33" s="2">
        <f>SE7-SR7</f>
        <v>3094100</v>
      </c>
      <c r="SG33" s="2">
        <f>SG7-ST7</f>
        <v>0</v>
      </c>
      <c r="SI33" s="2">
        <f>SI7-SV7</f>
        <v>1629106.0400000014</v>
      </c>
      <c r="SK33" s="2">
        <f>SK7-SX7</f>
        <v>-4723206.040000001</v>
      </c>
      <c r="SM33" s="2">
        <f>SUM(SC33:SK33)</f>
        <v>0</v>
      </c>
      <c r="SO33" s="10" t="s">
        <v>40</v>
      </c>
      <c r="SP33" s="2">
        <f>SP7-TC7</f>
        <v>0</v>
      </c>
      <c r="SQ33" s="11"/>
      <c r="SR33" s="2">
        <f>SR7-TE7</f>
        <v>69380</v>
      </c>
      <c r="ST33" s="2">
        <f>ST7-TG7</f>
        <v>-231979.51</v>
      </c>
      <c r="SV33" s="2">
        <f>SV7-TI7</f>
        <v>1217116.6600000001</v>
      </c>
      <c r="SX33" s="2">
        <f>SX7-TK7</f>
        <v>-1054517.1500000004</v>
      </c>
      <c r="SZ33" s="2">
        <f>SUM(SP33:SX33)</f>
        <v>0</v>
      </c>
      <c r="TB33" s="10" t="s">
        <v>40</v>
      </c>
      <c r="TC33" s="2">
        <f>TC7-TP7</f>
        <v>0</v>
      </c>
      <c r="TD33" s="11"/>
      <c r="TE33" s="2">
        <f>TE7-TR7</f>
        <v>648040.18000000005</v>
      </c>
      <c r="TG33" s="2">
        <f>TG7-TT7</f>
        <v>175579.51</v>
      </c>
      <c r="TI33" s="2">
        <f>TI7-TV7</f>
        <v>1617774.9899999998</v>
      </c>
      <c r="TK33" s="2">
        <f>TK7-TX7</f>
        <v>-2441394.6799999997</v>
      </c>
      <c r="TO33" s="10" t="s">
        <v>40</v>
      </c>
      <c r="TP33" s="2">
        <f>TP7</f>
        <v>0</v>
      </c>
      <c r="TQ33" s="11"/>
      <c r="TR33" s="2">
        <f>TR7</f>
        <v>44100</v>
      </c>
      <c r="TT33" s="2">
        <f>TT7</f>
        <v>56400</v>
      </c>
      <c r="TV33" s="2">
        <f>TV7</f>
        <v>810000</v>
      </c>
      <c r="TX33" s="2">
        <f>TX7</f>
        <v>-910500</v>
      </c>
      <c r="TZ33" s="2">
        <f>SUM(TP33:TX33)</f>
        <v>0</v>
      </c>
      <c r="UB33" s="10" t="s">
        <v>40</v>
      </c>
      <c r="UC33" s="2">
        <f>UC7-UP7</f>
        <v>0</v>
      </c>
      <c r="UD33" s="11"/>
      <c r="UE33" s="2">
        <f>UE7-UR7</f>
        <v>947430</v>
      </c>
      <c r="UG33" s="2">
        <f>UG7-UT7</f>
        <v>215731</v>
      </c>
      <c r="UI33" s="2">
        <f>UI7-UV7</f>
        <v>1184100</v>
      </c>
      <c r="UK33" s="2">
        <f>UK7-UX7</f>
        <v>-2347261</v>
      </c>
      <c r="UM33" s="2">
        <f>SUM(UC33:UK33)</f>
        <v>0</v>
      </c>
      <c r="UO33" s="10" t="s">
        <v>40</v>
      </c>
      <c r="UP33" s="2">
        <f>UP7-VC7</f>
        <v>0</v>
      </c>
      <c r="UQ33" s="11"/>
      <c r="UR33" s="2">
        <f>UR7-VE7</f>
        <v>0</v>
      </c>
      <c r="UT33" s="2">
        <f>UT7-VG7</f>
        <v>549045</v>
      </c>
      <c r="UV33" s="2">
        <f>UV7-VI7</f>
        <v>1184100</v>
      </c>
      <c r="UX33" s="2">
        <f>UX7-VK7</f>
        <v>-1733144.9999999995</v>
      </c>
      <c r="UZ33" s="2">
        <f>SUM(UP33:UX33)</f>
        <v>0</v>
      </c>
      <c r="VB33" s="10" t="s">
        <v>40</v>
      </c>
      <c r="VC33" s="2">
        <f>VC7-VP7</f>
        <v>0</v>
      </c>
      <c r="VD33" s="11"/>
      <c r="VE33" s="2">
        <f>VE7-VR7</f>
        <v>6597.28</v>
      </c>
      <c r="VG33" s="2">
        <f>VG7-VT7</f>
        <v>104512.49</v>
      </c>
      <c r="VI33" s="2">
        <f>VI7-VV7</f>
        <v>1177500</v>
      </c>
      <c r="VK33" s="2">
        <f>VK7-VX7</f>
        <v>-1288612.49</v>
      </c>
      <c r="VO33" s="10" t="s">
        <v>40</v>
      </c>
      <c r="VP33" s="2">
        <f>VP7</f>
        <v>0</v>
      </c>
      <c r="VQ33" s="11"/>
      <c r="VR33" s="2">
        <f>VR7</f>
        <v>0</v>
      </c>
      <c r="VT33" s="2">
        <f>VT7</f>
        <v>0</v>
      </c>
      <c r="VV33" s="2">
        <f>VV7</f>
        <v>1190700</v>
      </c>
      <c r="VX33" s="2">
        <f>VX7</f>
        <v>-1190697.28</v>
      </c>
      <c r="VZ33" s="2">
        <f>SUM(VP33:VX33)</f>
        <v>2.7199999999720603</v>
      </c>
      <c r="WB33" s="10" t="s">
        <v>40</v>
      </c>
      <c r="WC33" s="2">
        <f>WC7-WP7</f>
        <v>0</v>
      </c>
      <c r="WD33" s="11"/>
      <c r="WE33" s="2">
        <f>WE7-WR7</f>
        <v>0</v>
      </c>
      <c r="WG33" s="2">
        <f>WG7-WT7</f>
        <v>889296</v>
      </c>
      <c r="WI33" s="2">
        <f>WI7-WV7</f>
        <v>1199244.5899999999</v>
      </c>
      <c r="WK33" s="2">
        <f>WK7-WX7</f>
        <v>-2088540.5899999999</v>
      </c>
      <c r="WM33" s="2">
        <f>SUM(WC33:WK33)</f>
        <v>0</v>
      </c>
      <c r="WO33" s="10" t="s">
        <v>40</v>
      </c>
      <c r="WP33" s="2">
        <f>WP7-XC7</f>
        <v>0</v>
      </c>
      <c r="WQ33" s="11"/>
      <c r="WR33" s="2">
        <f>WR7-XE7</f>
        <v>0</v>
      </c>
      <c r="WT33" s="2">
        <f>WT7-XG7</f>
        <v>0</v>
      </c>
      <c r="WV33" s="2">
        <f>WV7-XI7</f>
        <v>1189502.6600000001</v>
      </c>
      <c r="WX33" s="2">
        <f>WX7-XK7</f>
        <v>-1189502.6600000001</v>
      </c>
      <c r="WZ33" s="2">
        <f>SUM(WP33:WX33)</f>
        <v>0</v>
      </c>
      <c r="XB33" s="10" t="s">
        <v>40</v>
      </c>
      <c r="XC33" s="2">
        <f>XC7-XP7</f>
        <v>0</v>
      </c>
      <c r="XD33" s="11"/>
      <c r="XE33" s="2">
        <f>XE7-XR7</f>
        <v>0</v>
      </c>
      <c r="XG33" s="2">
        <f>XG7-XT7</f>
        <v>0</v>
      </c>
      <c r="XI33" s="2">
        <f>XI7-XV7</f>
        <v>1320246.2600000002</v>
      </c>
      <c r="XK33" s="2">
        <f>XK7-XX7</f>
        <v>-1320246.2600000002</v>
      </c>
      <c r="XM33" s="2">
        <f>SUM(XC33:XK33)</f>
        <v>0</v>
      </c>
      <c r="XO33" s="10" t="s">
        <v>40</v>
      </c>
      <c r="XP33" s="2">
        <f>XP7</f>
        <v>0</v>
      </c>
      <c r="XQ33" s="11"/>
      <c r="XR33" s="2">
        <f>XR7</f>
        <v>0</v>
      </c>
      <c r="XT33" s="2">
        <f>XT7</f>
        <v>0</v>
      </c>
      <c r="XV33" s="2">
        <f>XV7</f>
        <v>1223607.73</v>
      </c>
      <c r="XX33" s="2">
        <f>XX7</f>
        <v>-1223607.73</v>
      </c>
      <c r="XZ33" s="2">
        <f>SUM(XP33:XX33)</f>
        <v>0</v>
      </c>
      <c r="YB33" s="10" t="s">
        <v>40</v>
      </c>
      <c r="YC33" s="2">
        <f>YC7-YP7</f>
        <v>0</v>
      </c>
      <c r="YD33" s="11"/>
      <c r="YE33" s="2">
        <f>YE7-YR7</f>
        <v>0</v>
      </c>
      <c r="YG33" s="2">
        <f>YG7-YT7</f>
        <v>0</v>
      </c>
      <c r="YI33" s="2">
        <f>YI7-YV7</f>
        <v>1259000.2122908253</v>
      </c>
      <c r="YK33" s="2">
        <f>YK7-YX7</f>
        <v>-1259000.2122908253</v>
      </c>
      <c r="YM33" s="2">
        <f>SUM(YC33:YK33)</f>
        <v>0</v>
      </c>
      <c r="YO33" s="10"/>
      <c r="YP33" s="2"/>
      <c r="YQ33" s="11"/>
    </row>
    <row r="34" spans="1:676">
      <c r="B34" s="2"/>
      <c r="H34" s="61"/>
      <c r="R34" s="2"/>
      <c r="X34" s="61"/>
      <c r="AD34" s="61"/>
      <c r="AH34" s="2"/>
      <c r="AP34" s="2">
        <f t="shared" si="71"/>
        <v>0</v>
      </c>
      <c r="AT34" s="61"/>
      <c r="AX34" s="2"/>
      <c r="BN34" s="2"/>
      <c r="CD34" s="2"/>
      <c r="CT34" s="2"/>
      <c r="DJ34" s="2"/>
      <c r="DZ34" s="2"/>
      <c r="EN34" s="2"/>
      <c r="FB34" s="2"/>
      <c r="FP34" s="2"/>
      <c r="GD34" s="2"/>
      <c r="GR34" s="2"/>
      <c r="HF34" s="2"/>
      <c r="HT34" s="2"/>
      <c r="IH34" s="2"/>
      <c r="IV34" s="2"/>
      <c r="JJ34" s="2"/>
      <c r="JX34" s="2"/>
      <c r="KL34" s="2"/>
      <c r="KZ34" s="2"/>
      <c r="LN34" s="2"/>
      <c r="LR34" s="53"/>
      <c r="MA34" s="2"/>
      <c r="ME34" s="53"/>
      <c r="MF34" s="61"/>
      <c r="MI34" s="2">
        <f t="shared" si="148"/>
        <v>0</v>
      </c>
      <c r="MN34" s="2"/>
      <c r="NB34" s="2"/>
      <c r="NP34" s="2"/>
      <c r="NT34" s="53"/>
      <c r="OC34" s="2"/>
      <c r="OG34" s="53"/>
      <c r="OH34" s="61"/>
      <c r="OP34" s="2"/>
      <c r="OT34" s="53"/>
      <c r="PC34" s="2"/>
      <c r="PG34" s="39"/>
      <c r="PP34" s="2"/>
      <c r="PT34" s="39"/>
      <c r="QC34" s="2"/>
      <c r="QG34" s="39"/>
      <c r="QP34" s="2"/>
      <c r="RC34" s="2"/>
      <c r="RP34" s="2"/>
      <c r="SC34" s="2"/>
      <c r="SP34" s="2"/>
      <c r="TC34" s="2"/>
      <c r="TP34" s="2"/>
      <c r="UC34" s="2"/>
      <c r="UP34" s="2"/>
      <c r="VC34" s="2"/>
      <c r="VP34" s="2"/>
      <c r="WC34" s="2"/>
      <c r="WP34" s="2"/>
      <c r="XC34" s="2"/>
      <c r="XP34" s="2"/>
      <c r="YC34" s="2"/>
      <c r="YP34" s="2"/>
    </row>
    <row r="35" spans="1:676">
      <c r="A35" s="7" t="s">
        <v>41</v>
      </c>
      <c r="B35" s="8">
        <f>SUM(B36:B42)</f>
        <v>-128744455.42952877</v>
      </c>
      <c r="C35" s="9"/>
      <c r="D35" s="8">
        <f>SUM(D36:D42)</f>
        <v>-11008302.413273463</v>
      </c>
      <c r="E35" s="8"/>
      <c r="F35" s="63">
        <f>SUM(F36:F42)</f>
        <v>-594930.34470306244</v>
      </c>
      <c r="G35" s="8"/>
      <c r="H35" s="63">
        <f>SUM(H36:H42)</f>
        <v>-10593674.425296936</v>
      </c>
      <c r="I35" s="8"/>
      <c r="J35" s="8">
        <f>SUM(J36:J42)</f>
        <v>-10820028.837302841</v>
      </c>
      <c r="K35" s="8"/>
      <c r="L35" s="8">
        <f>SUM(L36:L42)</f>
        <v>1541687.6599733336</v>
      </c>
      <c r="M35" s="8"/>
      <c r="N35" s="8">
        <f>SUM(N36:N42)</f>
        <v>-160219703.79013178</v>
      </c>
      <c r="Q35" s="7" t="s">
        <v>41</v>
      </c>
      <c r="R35" s="63">
        <f>SUM(R36:R42)</f>
        <v>-99459921.539653897</v>
      </c>
      <c r="S35" s="72"/>
      <c r="T35" s="63">
        <f>SUM(T36:T42)</f>
        <v>-10891229.583909117</v>
      </c>
      <c r="U35" s="63"/>
      <c r="V35" s="63">
        <f>SUM(V36:V42)</f>
        <v>-1067451.9350000042</v>
      </c>
      <c r="W35" s="63"/>
      <c r="X35" s="63">
        <f>SUM(X36:X42)</f>
        <v>-8212672.7349999966</v>
      </c>
      <c r="Y35" s="63"/>
      <c r="Z35" s="63">
        <f>SUM(Z36:Z42)</f>
        <v>-6887222.5339216553</v>
      </c>
      <c r="AA35" s="63"/>
      <c r="AB35" s="63">
        <f>SUM(AB36:AB42)</f>
        <v>502814.30002666631</v>
      </c>
      <c r="AC35" s="63"/>
      <c r="AD35" s="63">
        <f>SUM(AD36:AD42)</f>
        <v>-126015684.02745801</v>
      </c>
      <c r="AG35" s="7" t="s">
        <v>41</v>
      </c>
      <c r="AH35" s="63">
        <f>SUM(AH36:AH42)</f>
        <v>-83517444.831270143</v>
      </c>
      <c r="AI35" s="72"/>
      <c r="AJ35" s="63">
        <f>SUM(AJ36:AJ42)</f>
        <v>-9034145.8166046087</v>
      </c>
      <c r="AK35" s="63"/>
      <c r="AL35" s="63">
        <f>SUM(AL36:AL42)</f>
        <v>-958938.64491304476</v>
      </c>
      <c r="AM35" s="63"/>
      <c r="AN35" s="63">
        <f>SUM(AN36:AN42)</f>
        <v>-5224305.3750869557</v>
      </c>
      <c r="AO35" s="63"/>
      <c r="AP35" s="63">
        <f>SUM(AP36:AP42)</f>
        <v>-6882003.4599650744</v>
      </c>
      <c r="AQ35" s="63"/>
      <c r="AR35" s="63">
        <f>SUM(AR36:AR42)</f>
        <v>1105177.7800000003</v>
      </c>
      <c r="AS35" s="63"/>
      <c r="AT35" s="63">
        <f>SUM(AT36:AT42)</f>
        <v>-104511660.34783986</v>
      </c>
      <c r="AW35" s="7" t="s">
        <v>41</v>
      </c>
      <c r="AX35" s="8">
        <f>SUM(AX36:AX42)</f>
        <v>-142753720.66954711</v>
      </c>
      <c r="AY35" s="9"/>
      <c r="AZ35" s="8">
        <f>SUM(AZ36:AZ42)</f>
        <v>-9495959.7562128119</v>
      </c>
      <c r="BA35" s="8"/>
      <c r="BB35" s="63">
        <f>SUM(BB36:BB42)</f>
        <v>-706817.78538388852</v>
      </c>
      <c r="BC35" s="63"/>
      <c r="BD35" s="63">
        <f>SUM(BD36:BD42)</f>
        <v>-4198236.5446161116</v>
      </c>
      <c r="BE35" s="8"/>
      <c r="BF35" s="8">
        <f>SUM(BF36:BF42)</f>
        <v>-5538791.1888104286</v>
      </c>
      <c r="BG35" s="8"/>
      <c r="BH35" s="8">
        <f>SUM(BH36:BH42)</f>
        <v>1021642.55</v>
      </c>
      <c r="BI35" s="8"/>
      <c r="BJ35" s="8">
        <f>SUM(AX35:BH35)</f>
        <v>-161671883.39457032</v>
      </c>
      <c r="BM35" s="7" t="s">
        <v>41</v>
      </c>
      <c r="BN35" s="8">
        <f>SUM(BN36:BN42)</f>
        <v>-95108785.566617042</v>
      </c>
      <c r="BO35" s="9"/>
      <c r="BP35" s="8">
        <f>SUM(BP36:BP42)</f>
        <v>-9635528.5597422309</v>
      </c>
      <c r="BQ35" s="8"/>
      <c r="BR35" s="63">
        <f>SUM(BR36:BR42)</f>
        <v>-930369.62499996275</v>
      </c>
      <c r="BS35" s="8"/>
      <c r="BT35" s="63">
        <f>SUM(BT36:BT42)</f>
        <v>-4967879.7450000383</v>
      </c>
      <c r="BU35" s="8"/>
      <c r="BV35" s="8">
        <f>SUM(BV36:BV42)</f>
        <v>-6986639.451959827</v>
      </c>
      <c r="BW35" s="8"/>
      <c r="BX35" s="8">
        <f>SUM(BX36:BX42)</f>
        <v>777722.66881388938</v>
      </c>
      <c r="BY35" s="8"/>
      <c r="BZ35" s="8">
        <f>SUM(BN35:BX35)</f>
        <v>-116851480.27950521</v>
      </c>
      <c r="CC35" s="7" t="s">
        <v>41</v>
      </c>
      <c r="CD35" s="8">
        <f>SUM(CD36:CD42)</f>
        <v>-83677624.654904976</v>
      </c>
      <c r="CE35" s="9"/>
      <c r="CF35" s="8">
        <f>SUM(CF36:CF42)</f>
        <v>-7680885.986529558</v>
      </c>
      <c r="CG35" s="8"/>
      <c r="CH35" s="63">
        <f>SUM(CH36:CH42)</f>
        <v>-928629.550000038</v>
      </c>
      <c r="CI35" s="63"/>
      <c r="CJ35" s="63">
        <f>SUM(CJ36:CJ42)</f>
        <v>-7132858.5499999616</v>
      </c>
      <c r="CK35" s="8"/>
      <c r="CL35" s="8">
        <f>SUM(CL36:CL42)</f>
        <v>-4815363.9394246601</v>
      </c>
      <c r="CM35" s="8"/>
      <c r="CN35" s="8">
        <f>SUM(CN36:CN42)</f>
        <v>929780.30463133764</v>
      </c>
      <c r="CO35" s="8"/>
      <c r="CP35" s="8">
        <f>SUM(CD35:CN35)</f>
        <v>-103305582.37622787</v>
      </c>
      <c r="CS35" s="7" t="s">
        <v>41</v>
      </c>
      <c r="CT35" s="8">
        <f>SUM(CT36:CT42)</f>
        <v>-52952123.267670438</v>
      </c>
      <c r="CU35" s="9"/>
      <c r="CV35" s="8">
        <f>SUM(CV36:CV42)</f>
        <v>-9445952.597619636</v>
      </c>
      <c r="CW35" s="8"/>
      <c r="CX35" s="63">
        <f>SUM(CX36:CX42)</f>
        <v>-823915.74750000145</v>
      </c>
      <c r="CY35" s="63"/>
      <c r="CZ35" s="63">
        <f>SUM(CZ36:CZ42)</f>
        <v>-4369031.5024999976</v>
      </c>
      <c r="DA35" s="8"/>
      <c r="DB35" s="8">
        <f>SUM(DB36:DB42)</f>
        <v>-4355922.5750962151</v>
      </c>
      <c r="DC35" s="8"/>
      <c r="DD35" s="8">
        <f>SUM(DD36:DD42)</f>
        <v>853914.05147144012</v>
      </c>
      <c r="DE35" s="8"/>
      <c r="DF35" s="8">
        <f>SUM(CT35:DD35)</f>
        <v>-71093031.638914853</v>
      </c>
      <c r="DI35" s="7" t="s">
        <v>41</v>
      </c>
      <c r="DJ35" s="8">
        <f>SUM(DJ36:DJ42)</f>
        <v>-209704623.16273841</v>
      </c>
      <c r="DK35" s="9"/>
      <c r="DL35" s="8">
        <f>SUM(DL36:DL42)</f>
        <v>-6984599.4378931886</v>
      </c>
      <c r="DM35" s="8"/>
      <c r="DN35" s="63">
        <f>SUM(DN36:DN42)</f>
        <v>-684760.10749999899</v>
      </c>
      <c r="DO35" s="63"/>
      <c r="DP35" s="63">
        <f>SUM(DP36:DP42)</f>
        <v>-3415666.9925000006</v>
      </c>
      <c r="DQ35" s="8"/>
      <c r="DR35" s="8">
        <f>SUM(DR36:DR42)</f>
        <v>-6192214.8428943884</v>
      </c>
      <c r="DS35" s="8"/>
      <c r="DT35" s="8">
        <f>SUM(DT36:DT42)</f>
        <v>1052900.2400000002</v>
      </c>
      <c r="DU35" s="8"/>
      <c r="DV35" s="8">
        <f>SUM(DJ35:DT35)</f>
        <v>-225928964.30352595</v>
      </c>
      <c r="DY35" s="7" t="s">
        <v>41</v>
      </c>
      <c r="DZ35" s="8">
        <f>SUM(DZ36:DZ42)</f>
        <v>-92791533.122714132</v>
      </c>
      <c r="EA35" s="9"/>
      <c r="EB35" s="8">
        <f>SUM(EB36:EB42)</f>
        <v>-7849611.6098211966</v>
      </c>
      <c r="EC35" s="8"/>
      <c r="ED35" s="63">
        <f>SUM(ED36:ED42)</f>
        <v>-5121438.6399999997</v>
      </c>
      <c r="EE35" s="8"/>
      <c r="EF35" s="8">
        <f>SUM(EF36:EF42)</f>
        <v>-8333781.9706295747</v>
      </c>
      <c r="EG35" s="8"/>
      <c r="EH35" s="8">
        <f>SUM(EH36:EH42)</f>
        <v>1423721.8381157932</v>
      </c>
      <c r="EI35" s="8"/>
      <c r="EJ35" s="8">
        <f>SUM(DZ35:EH35)</f>
        <v>-112672643.50504911</v>
      </c>
      <c r="EM35" s="7" t="s">
        <v>41</v>
      </c>
      <c r="EN35" s="8">
        <f>SUM(EN36:EN42)</f>
        <v>-70389186.753826052</v>
      </c>
      <c r="EO35" s="9"/>
      <c r="EP35" s="8">
        <f>SUM(EP36:EP42)</f>
        <v>-6587387.9769985648</v>
      </c>
      <c r="EQ35" s="8"/>
      <c r="ER35" s="63">
        <f>SUM(ER36:ER42)</f>
        <v>-4863097.1099999994</v>
      </c>
      <c r="ES35" s="8"/>
      <c r="ET35" s="8">
        <f>SUM(ET36:ET42)</f>
        <v>-4468056.7915385636</v>
      </c>
      <c r="EU35" s="8"/>
      <c r="EV35" s="8">
        <f>SUM(EV36:EV42)</f>
        <v>1638201.6270523332</v>
      </c>
      <c r="EW35" s="8"/>
      <c r="EX35" s="8">
        <f>SUM(EN35:EV35)</f>
        <v>-84669527.005310848</v>
      </c>
      <c r="FA35" s="7" t="s">
        <v>41</v>
      </c>
      <c r="FB35" s="8">
        <f>SUM(FB36:FB42)</f>
        <v>-45860839.626299962</v>
      </c>
      <c r="FC35" s="9"/>
      <c r="FD35" s="8">
        <f>SUM(FD36:FD42)</f>
        <v>-8698990.8321388699</v>
      </c>
      <c r="FE35" s="8"/>
      <c r="FF35" s="63">
        <f>SUM(FF36:FF42)</f>
        <v>-3650620.55</v>
      </c>
      <c r="FG35" s="8"/>
      <c r="FH35" s="8">
        <f>SUM(FH36:FH42)</f>
        <v>-5079938.242989949</v>
      </c>
      <c r="FI35" s="8"/>
      <c r="FJ35" s="8">
        <f>SUM(FJ36:FJ42)</f>
        <v>809528.45033531252</v>
      </c>
      <c r="FK35" s="8"/>
      <c r="FL35" s="8">
        <f>SUM(FB35:FJ35)</f>
        <v>-62480860.801093467</v>
      </c>
      <c r="FO35" s="7" t="s">
        <v>41</v>
      </c>
      <c r="FP35" s="8">
        <f>SUM(FP36:FP42)</f>
        <v>-106430740.48580146</v>
      </c>
      <c r="FQ35" s="9"/>
      <c r="FR35" s="8">
        <f>SUM(FR36:FR42)</f>
        <v>-7195671.2664099531</v>
      </c>
      <c r="FS35" s="8"/>
      <c r="FT35" s="63">
        <f>SUM(FT36:FT42)</f>
        <v>-2028903.9700000002</v>
      </c>
      <c r="FU35" s="8"/>
      <c r="FV35" s="8">
        <f>SUM(FV36:FV42)</f>
        <v>-4227606.7664998602</v>
      </c>
      <c r="FW35" s="8"/>
      <c r="FX35" s="8">
        <f>SUM(FX36:FX42)</f>
        <v>696704.75016468728</v>
      </c>
      <c r="FY35" s="8"/>
      <c r="FZ35" s="8">
        <f>SUM(FP35:FX35)</f>
        <v>-119186217.73854658</v>
      </c>
      <c r="GC35" s="7" t="s">
        <v>41</v>
      </c>
      <c r="GD35" s="8">
        <f>SUM(GD36:GD42)</f>
        <v>-39062737.139617383</v>
      </c>
      <c r="GE35" s="9"/>
      <c r="GF35" s="8">
        <f>SUM(GF36:GF42)</f>
        <v>-6232044.0847195145</v>
      </c>
      <c r="GG35" s="8"/>
      <c r="GH35" s="63">
        <f>SUM(GH36:GH42)</f>
        <v>-4141373.419999999</v>
      </c>
      <c r="GI35" s="8"/>
      <c r="GJ35" s="8">
        <f>SUM(GJ36:GJ42)</f>
        <v>-4162286.7917345632</v>
      </c>
      <c r="GK35" s="8"/>
      <c r="GL35" s="8">
        <f>SUM(GL36:GL42)</f>
        <v>1136113.3807545477</v>
      </c>
      <c r="GM35" s="8"/>
      <c r="GN35" s="8">
        <f>SUM(GD35:GL35)</f>
        <v>-52462328.055316918</v>
      </c>
      <c r="GQ35" s="7" t="s">
        <v>41</v>
      </c>
      <c r="GR35" s="8">
        <f>SUM(GR36:GR42)</f>
        <v>-23345953.510259666</v>
      </c>
      <c r="GS35" s="9"/>
      <c r="GT35" s="8">
        <f>SUM(GT36:GT42)</f>
        <v>-6482430.8084999993</v>
      </c>
      <c r="GU35" s="8"/>
      <c r="GV35" s="63">
        <f>SUM(GV36:GV42)</f>
        <v>-1828636.8100000005</v>
      </c>
      <c r="GW35" s="8"/>
      <c r="GX35" s="8">
        <f>SUM(GX36:GX42)</f>
        <v>-3995395.7052220898</v>
      </c>
      <c r="GY35" s="8"/>
      <c r="GZ35" s="8">
        <f>SUM(GZ36:GZ42)</f>
        <v>2075311.5735299867</v>
      </c>
      <c r="HA35" s="8"/>
      <c r="HB35" s="8">
        <f>SUM(GR35:GZ35)</f>
        <v>-33577105.260451771</v>
      </c>
      <c r="HE35" s="7" t="s">
        <v>41</v>
      </c>
      <c r="HF35" s="8">
        <f>SUM(HF36:HF42)</f>
        <v>-25050078.367927503</v>
      </c>
      <c r="HG35" s="9"/>
      <c r="HH35" s="8">
        <f>SUM(HH36:HH42)</f>
        <v>-7227149.2814999996</v>
      </c>
      <c r="HI35" s="8"/>
      <c r="HJ35" s="63">
        <f>SUM(HJ36:HJ42)</f>
        <v>-1688579.7599999993</v>
      </c>
      <c r="HK35" s="8"/>
      <c r="HL35" s="8">
        <f>SUM(HL36:HL42)</f>
        <v>2577430.2233071369</v>
      </c>
      <c r="HM35" s="8"/>
      <c r="HN35" s="8">
        <f>SUM(HN36:HN42)</f>
        <v>1500855.1056007105</v>
      </c>
      <c r="HO35" s="8"/>
      <c r="HP35" s="8">
        <f>SUM(HF35:HN35)</f>
        <v>-29887522.080519654</v>
      </c>
      <c r="HS35" s="7" t="s">
        <v>41</v>
      </c>
      <c r="HT35" s="8">
        <f>SUM(HT36:HT42)</f>
        <v>-24257191.229999993</v>
      </c>
      <c r="HU35" s="9"/>
      <c r="HV35" s="8">
        <f>SUM(HV36:HV42)</f>
        <v>-5870340.9900000002</v>
      </c>
      <c r="HW35" s="8"/>
      <c r="HX35" s="63">
        <f>SUM(HX36:HX42)</f>
        <v>-1679254.61</v>
      </c>
      <c r="HY35" s="8"/>
      <c r="HZ35" s="8">
        <f>SUM(HZ36:HZ42)</f>
        <v>-2077435.7405000001</v>
      </c>
      <c r="IA35" s="8"/>
      <c r="IB35" s="8">
        <f>SUM(IB36:IB42)</f>
        <v>568135.17311476835</v>
      </c>
      <c r="IC35" s="8"/>
      <c r="ID35" s="8">
        <f>SUM(HT35:IB35)</f>
        <v>-33316087.397385225</v>
      </c>
      <c r="IG35" s="7" t="s">
        <v>41</v>
      </c>
      <c r="IH35" s="8">
        <f>SUM(IH36:IH42)</f>
        <v>-38324312.379999995</v>
      </c>
      <c r="II35" s="9"/>
      <c r="IJ35" s="8">
        <f>SUM(IJ36:IJ42)</f>
        <v>-6073967.3199999975</v>
      </c>
      <c r="IK35" s="8"/>
      <c r="IL35" s="63">
        <f>SUM(IL36:IL42)</f>
        <v>-1089000.7400000007</v>
      </c>
      <c r="IM35" s="8"/>
      <c r="IN35" s="8">
        <f>SUM(IN36:IN42)</f>
        <v>-2323554.7004999998</v>
      </c>
      <c r="IO35" s="8"/>
      <c r="IP35" s="8">
        <f>SUM(IP36:IP42)</f>
        <v>565499.14756090974</v>
      </c>
      <c r="IQ35" s="8"/>
      <c r="IR35" s="8">
        <f>SUM(IH35:IP35)</f>
        <v>-47245335.992939085</v>
      </c>
      <c r="IU35" s="7" t="s">
        <v>41</v>
      </c>
      <c r="IV35" s="8">
        <f>SUM(IV36:IV42)</f>
        <v>-7661522.5599999987</v>
      </c>
      <c r="IW35" s="9"/>
      <c r="IX35" s="8">
        <f>SUM(IX36:IX42)</f>
        <v>-5861195.6800000006</v>
      </c>
      <c r="IY35" s="8"/>
      <c r="IZ35" s="63">
        <f>SUM(IZ36:IZ42)</f>
        <v>-1929982.67</v>
      </c>
      <c r="JA35" s="8"/>
      <c r="JB35" s="8">
        <f>SUM(JB36:JB42)</f>
        <v>-1352160.2804999996</v>
      </c>
      <c r="JC35" s="8"/>
      <c r="JD35" s="8">
        <f>SUM(JD36:JD42)</f>
        <v>565085.72829402576</v>
      </c>
      <c r="JE35" s="8"/>
      <c r="JF35" s="8">
        <f>SUM(IV35:JD35)</f>
        <v>-16239775.462205973</v>
      </c>
      <c r="JI35" s="7" t="s">
        <v>41</v>
      </c>
      <c r="JJ35" s="8">
        <f>SUM(JJ36:JJ42)</f>
        <v>-15384553.920000002</v>
      </c>
      <c r="JK35" s="9"/>
      <c r="JL35" s="8">
        <f>SUM(JL36:JL42)</f>
        <v>-5970203.1800000016</v>
      </c>
      <c r="JM35" s="8"/>
      <c r="JN35" s="63">
        <f>SUM(JN36:JN42)</f>
        <v>-1142923.5399999998</v>
      </c>
      <c r="JO35" s="8"/>
      <c r="JP35" s="8">
        <f>SUM(JP36:JP42)</f>
        <v>-2216054.9605</v>
      </c>
      <c r="JQ35" s="8"/>
      <c r="JR35" s="8">
        <f>SUM(JR36:JR42)</f>
        <v>510681.01555853186</v>
      </c>
      <c r="JS35" s="8"/>
      <c r="JT35" s="8">
        <f>SUM(JJ35:JR35)</f>
        <v>-24203054.584941469</v>
      </c>
      <c r="JW35" s="7" t="s">
        <v>41</v>
      </c>
      <c r="JX35" s="8">
        <f>SUM(JX36:JX42)</f>
        <v>-22165179.329999998</v>
      </c>
      <c r="JY35" s="9"/>
      <c r="JZ35" s="8">
        <f>SUM(JZ36:JZ42)</f>
        <v>-5455862.3399999999</v>
      </c>
      <c r="KA35" s="8"/>
      <c r="KB35" s="63">
        <f>SUM(KB36:KB42)</f>
        <v>-986335.2300000001</v>
      </c>
      <c r="KC35" s="8"/>
      <c r="KD35" s="8">
        <f>SUM(KD36:KD42)</f>
        <v>-1951773.7105</v>
      </c>
      <c r="KE35" s="8"/>
      <c r="KF35" s="8">
        <f>SUM(KF36:KF42)</f>
        <v>807044.30858654773</v>
      </c>
      <c r="KG35" s="8"/>
      <c r="KH35" s="8">
        <f>SUM(JX35:KF35)</f>
        <v>-29752106.301913451</v>
      </c>
      <c r="KK35" s="7" t="s">
        <v>41</v>
      </c>
      <c r="KL35" s="8">
        <f>SUM(KL36:KL42)</f>
        <v>-16445068.290000005</v>
      </c>
      <c r="KM35" s="9"/>
      <c r="KN35" s="8">
        <f>SUM(KN36:KN42)</f>
        <v>-5500808.0499999989</v>
      </c>
      <c r="KO35" s="8"/>
      <c r="KP35" s="63">
        <f>SUM(KP36:KP42)</f>
        <v>-916361.28999999922</v>
      </c>
      <c r="KQ35" s="8"/>
      <c r="KR35" s="8">
        <f>SUM(KR36:KR42)</f>
        <v>-2264399.1504999995</v>
      </c>
      <c r="KS35" s="8"/>
      <c r="KT35" s="8">
        <f>SUM(KT36:KT42)</f>
        <v>457841.80847752036</v>
      </c>
      <c r="KU35" s="8"/>
      <c r="KV35" s="8">
        <f>SUM(KL35:KT35)</f>
        <v>-24668794.972022481</v>
      </c>
      <c r="KY35" s="7" t="s">
        <v>41</v>
      </c>
      <c r="KZ35" s="8">
        <f>SUM(KZ36:KZ42)</f>
        <v>-13674760.439999998</v>
      </c>
      <c r="LA35" s="9"/>
      <c r="LB35" s="8">
        <f>SUM(LB36:LB42)</f>
        <v>-4767555.3299999991</v>
      </c>
      <c r="LC35" s="8"/>
      <c r="LD35" s="63">
        <f>SUM(LD36:LD42)</f>
        <v>-1103457.8500000001</v>
      </c>
      <c r="LE35" s="8"/>
      <c r="LF35" s="8">
        <f>SUM(LF36:LF42)</f>
        <v>-2040124.0005000001</v>
      </c>
      <c r="LG35" s="8"/>
      <c r="LH35" s="8">
        <f>SUM(LH36:LH42)</f>
        <v>799792.91776195017</v>
      </c>
      <c r="LI35" s="8"/>
      <c r="LJ35" s="8">
        <f>SUM(KZ35:LH35)</f>
        <v>-20786104.702738047</v>
      </c>
      <c r="LM35" s="7" t="s">
        <v>41</v>
      </c>
      <c r="LN35" s="8">
        <f>SUM(LN36:LN42)</f>
        <v>-24587694.209999997</v>
      </c>
      <c r="LO35" s="9"/>
      <c r="LP35" s="8">
        <f>SUM(LP36:LP42)</f>
        <v>-6610216.1599999983</v>
      </c>
      <c r="LQ35" s="8"/>
      <c r="LR35" s="54">
        <f>SUM(LR36:LR42)</f>
        <v>-1140998.3900000001</v>
      </c>
      <c r="LS35" s="8"/>
      <c r="LT35" s="8">
        <f>SUM(LT36:LT42)</f>
        <v>-2057064.0205000003</v>
      </c>
      <c r="LU35" s="8"/>
      <c r="LV35" s="8">
        <f>SUM(LV36:LV42)</f>
        <v>800785.28565494716</v>
      </c>
      <c r="LW35" s="8"/>
      <c r="LX35" s="8">
        <f>SUM(LN35:LV35)</f>
        <v>-33595187.494845048</v>
      </c>
      <c r="LZ35" s="7" t="s">
        <v>41</v>
      </c>
      <c r="MA35" s="8">
        <f>SUM(MA36:MA42)</f>
        <v>-25323714.989999998</v>
      </c>
      <c r="MB35" s="9"/>
      <c r="MC35" s="8">
        <f>SUM(MC36:MC42)</f>
        <v>-6397705.3600000003</v>
      </c>
      <c r="MD35" s="8"/>
      <c r="ME35" s="54">
        <f>SUM(ME36:ME42)</f>
        <v>-1210291.9100000001</v>
      </c>
      <c r="MF35" s="63"/>
      <c r="MG35" s="8">
        <f>SUM(MG36:MG42)</f>
        <v>-2173657.7505000001</v>
      </c>
      <c r="MH35" s="8"/>
      <c r="MI35" s="8">
        <f>SUM(MI36:MI42)</f>
        <v>800682.19425998745</v>
      </c>
      <c r="MJ35" s="8"/>
      <c r="MK35" s="8">
        <f>SUM(MA35:MI35)</f>
        <v>-34304687.816240013</v>
      </c>
      <c r="ML35" s="8"/>
      <c r="MM35" s="7" t="s">
        <v>41</v>
      </c>
      <c r="MN35" s="8">
        <f>SUM(MN36:MN42)</f>
        <v>-24420724.429999996</v>
      </c>
      <c r="MO35" s="9"/>
      <c r="MP35" s="8">
        <f>SUM(MP36:MP42)</f>
        <v>-4617073.0699999984</v>
      </c>
      <c r="MQ35" s="8"/>
      <c r="MR35" s="63">
        <f>SUM(MR36:MR42)</f>
        <v>-1324205.5999999992</v>
      </c>
      <c r="MS35" s="8"/>
      <c r="MT35" s="8">
        <f>SUM(MT36:MT42)</f>
        <v>-3504183.3405000018</v>
      </c>
      <c r="MU35" s="8"/>
      <c r="MV35" s="8">
        <f>SUM(MV36:MV42)</f>
        <v>807358.78500000015</v>
      </c>
      <c r="MW35" s="8"/>
      <c r="MX35" s="8">
        <f>SUM(MN35:MV35)</f>
        <v>-33058827.655499991</v>
      </c>
      <c r="NA35" s="7" t="s">
        <v>41</v>
      </c>
      <c r="NB35" s="8">
        <f>SUM(NB36:NB42)</f>
        <v>-8790399.8899999987</v>
      </c>
      <c r="NC35" s="9"/>
      <c r="ND35" s="8">
        <f>SUM(ND36:ND42)</f>
        <v>-5015895.4800000023</v>
      </c>
      <c r="NE35" s="8"/>
      <c r="NF35" s="63">
        <f>SUM(NF36:NF42)</f>
        <v>-987257.30000000028</v>
      </c>
      <c r="NG35" s="8"/>
      <c r="NH35" s="8">
        <f>SUM(NH36:NH42)</f>
        <v>-2328545.9558929196</v>
      </c>
      <c r="NI35" s="8"/>
      <c r="NJ35" s="8">
        <f>SUM(NJ36:NJ42)</f>
        <v>832814.10499999998</v>
      </c>
      <c r="NK35" s="8"/>
      <c r="NL35" s="8">
        <f>SUM(NB35:NJ35)</f>
        <v>-16289284.520892922</v>
      </c>
      <c r="NO35" s="7" t="s">
        <v>41</v>
      </c>
      <c r="NP35" s="8">
        <f>SUM(NP36:NP42)</f>
        <v>-10918081.450000001</v>
      </c>
      <c r="NQ35" s="9"/>
      <c r="NR35" s="8">
        <f>SUM(NR36:NR42)</f>
        <v>-3582312.6199999992</v>
      </c>
      <c r="NS35" s="8"/>
      <c r="NT35" s="54">
        <f>SUM(NT36:NT42)</f>
        <v>-513801.69999999972</v>
      </c>
      <c r="NU35" s="8"/>
      <c r="NV35" s="8">
        <f>SUM(NV36:NV42)</f>
        <v>-2908953.2304999996</v>
      </c>
      <c r="NW35" s="8"/>
      <c r="NX35" s="8">
        <f>SUM(NX36:NX42)</f>
        <v>710718.53500000061</v>
      </c>
      <c r="NY35" s="8"/>
      <c r="NZ35" s="8">
        <f>SUM(NP35:NX35)</f>
        <v>-17212430.465500001</v>
      </c>
      <c r="OB35" s="7" t="s">
        <v>41</v>
      </c>
      <c r="OC35" s="8">
        <f>SUM(OC36:OC42)</f>
        <v>-48948377.650000006</v>
      </c>
      <c r="OD35" s="9"/>
      <c r="OE35" s="8">
        <f>SUM(OE36:OE42)</f>
        <v>-4536658.33</v>
      </c>
      <c r="OF35" s="8"/>
      <c r="OG35" s="54">
        <f>SUM(OG36:OG42)</f>
        <v>-684638.23</v>
      </c>
      <c r="OH35" s="63"/>
      <c r="OI35" s="8">
        <f>SUM(OI36:OI42)</f>
        <v>-2162666.6251070802</v>
      </c>
      <c r="OJ35" s="8"/>
      <c r="OK35" s="8">
        <f>SUM(OK36:OK42)</f>
        <v>821344.93499999959</v>
      </c>
      <c r="OL35" s="8"/>
      <c r="OM35" s="8">
        <f>SUM(OC35:OK35)</f>
        <v>-55510995.900107078</v>
      </c>
      <c r="OO35" s="7" t="s">
        <v>41</v>
      </c>
      <c r="OP35" s="44">
        <f>SUM(OP36:OP42)</f>
        <v>-16049371.900000006</v>
      </c>
      <c r="OQ35" s="45"/>
      <c r="OR35" s="44">
        <f>SUM(OR36:OR42)</f>
        <v>-3940167.240000003</v>
      </c>
      <c r="OS35" s="44"/>
      <c r="OT35" s="58">
        <f>SUM(OT36:OT42)</f>
        <v>-956871.00000000012</v>
      </c>
      <c r="OU35" s="44"/>
      <c r="OV35" s="44">
        <f>SUM(OV36:OV42)</f>
        <v>-3273980.7405000036</v>
      </c>
      <c r="OW35" s="44"/>
      <c r="OX35" s="44">
        <f>SUM(OX36:OX42)</f>
        <v>-234167.69254165489</v>
      </c>
      <c r="OY35" s="44"/>
      <c r="OZ35" s="44">
        <f t="shared" ref="OZ35:OZ42" si="175">SUM(OP35:OX35)</f>
        <v>-24454558.573041666</v>
      </c>
      <c r="PB35" s="7" t="s">
        <v>41</v>
      </c>
      <c r="PC35" s="8">
        <f>SUM(PC36:PC42)</f>
        <v>-5675751.5599999949</v>
      </c>
      <c r="PD35" s="9"/>
      <c r="PE35" s="8">
        <f>SUM(PE36:PE42)</f>
        <v>-4817511.8599999975</v>
      </c>
      <c r="PF35" s="8"/>
      <c r="PG35" s="40">
        <f>SUM(PG36:PG42)</f>
        <v>0</v>
      </c>
      <c r="PH35" s="8">
        <f>SUM(PH36:PH42)</f>
        <v>0</v>
      </c>
      <c r="PI35" s="8">
        <f>SUM(PI36:PI42)</f>
        <v>771059.48060000176</v>
      </c>
      <c r="PJ35" s="8"/>
      <c r="PK35" s="8">
        <f>SUM(PK36:PK42)</f>
        <v>1238490.5218750006</v>
      </c>
      <c r="PL35" s="8"/>
      <c r="PM35" s="8">
        <f t="shared" ref="PM35:PM42" si="176">SUM(PC35:PK35)</f>
        <v>-8483713.4175249897</v>
      </c>
      <c r="PO35" s="7" t="s">
        <v>41</v>
      </c>
      <c r="PP35" s="8">
        <f>SUM(PP36:PP42)</f>
        <v>-3782547.8800000064</v>
      </c>
      <c r="PQ35" s="9"/>
      <c r="PR35" s="8">
        <f>SUM(PR36:PR42)</f>
        <v>-3755834.2599999993</v>
      </c>
      <c r="PS35" s="8"/>
      <c r="PT35" s="40">
        <f>SUM(PT36:PT42)</f>
        <v>0</v>
      </c>
      <c r="PU35" s="8">
        <f>SUM(PU36:PU42)</f>
        <v>0</v>
      </c>
      <c r="PV35" s="8">
        <f>SUM(PV36:PV42)</f>
        <v>5580652.0896666655</v>
      </c>
      <c r="PW35" s="8"/>
      <c r="PX35" s="8">
        <f>SUM(PX36:PX42)</f>
        <v>1005098.8526249977</v>
      </c>
      <c r="PY35" s="8"/>
      <c r="PZ35" s="8">
        <f>SUM(PP35:PX35)</f>
        <v>-952631.19770834292</v>
      </c>
      <c r="QB35" s="7" t="s">
        <v>41</v>
      </c>
      <c r="QC35" s="8">
        <f>SUM(QC36:QC42)</f>
        <v>-24844791.679999996</v>
      </c>
      <c r="QD35" s="9"/>
      <c r="QE35" s="8">
        <f>SUM(QE36:QE42)</f>
        <v>-4212982.7299999995</v>
      </c>
      <c r="QF35" s="8"/>
      <c r="QG35" s="40">
        <f>SUM(QG36:QG42)</f>
        <v>0</v>
      </c>
      <c r="QH35" s="8">
        <f>SUM(QH36:QH42)</f>
        <v>0</v>
      </c>
      <c r="QI35" s="8">
        <f>SUM(QI36:QI42)</f>
        <v>-2019162.0999999992</v>
      </c>
      <c r="QJ35" s="8"/>
      <c r="QK35" s="8">
        <f>SUM(QK36:QK42)</f>
        <v>1089873.5141250012</v>
      </c>
      <c r="QL35" s="8"/>
      <c r="QM35" s="8">
        <f t="shared" ref="QM35:QM42" si="177">SUM(QC35:QK35)</f>
        <v>-29987062.995874994</v>
      </c>
      <c r="QO35" s="7" t="s">
        <v>41</v>
      </c>
      <c r="QP35" s="8">
        <f>SUM(QP36:QP42)</f>
        <v>-5589271.8099999996</v>
      </c>
      <c r="QQ35" s="9"/>
      <c r="QR35" s="8">
        <f>SUM(QR36:QR42)</f>
        <v>-3781204.8200000008</v>
      </c>
      <c r="QS35" s="8"/>
      <c r="QT35" s="8">
        <f>SUM(QT36:QT42)</f>
        <v>-1022451.1999999997</v>
      </c>
      <c r="QU35" s="8"/>
      <c r="QV35" s="8">
        <f>SUM(QV36:QV42)</f>
        <v>-1496865.52</v>
      </c>
      <c r="QW35" s="8"/>
      <c r="QX35" s="8">
        <f>SUM(QX36:QX42)</f>
        <v>1029185.7060833334</v>
      </c>
      <c r="QY35" s="8"/>
      <c r="QZ35" s="8">
        <f t="shared" ref="QZ35:QZ42" si="178">SUM(QP35:QX35)</f>
        <v>-10860607.643916667</v>
      </c>
      <c r="RB35" s="7" t="s">
        <v>41</v>
      </c>
      <c r="RC35" s="8">
        <f>SUM(RC36:RC42)</f>
        <v>-4201536.62</v>
      </c>
      <c r="RD35" s="9"/>
      <c r="RE35" s="8">
        <f>SUM(RE36:RE42)</f>
        <v>-4559621.0099999988</v>
      </c>
      <c r="RF35" s="8"/>
      <c r="RG35" s="8">
        <f>SUM(RG36:RG42)</f>
        <v>-936238.14999999991</v>
      </c>
      <c r="RH35" s="8">
        <f>SUM(RH36:RH42)</f>
        <v>0</v>
      </c>
      <c r="RI35" s="8">
        <f>SUM(RI36:RI42)</f>
        <v>-1788515.13</v>
      </c>
      <c r="RJ35" s="8"/>
      <c r="RK35" s="8">
        <f>SUM(RK36:RK42)</f>
        <v>2352814.2000000007</v>
      </c>
      <c r="RL35" s="8"/>
      <c r="RM35" s="8">
        <f t="shared" ref="RM35:RM42" si="179">SUM(RC35:RK35)</f>
        <v>-9133096.709999999</v>
      </c>
      <c r="RO35" s="7" t="s">
        <v>41</v>
      </c>
      <c r="RP35" s="8">
        <f>SUM(RP36:RP42)</f>
        <v>-3436179.06</v>
      </c>
      <c r="RQ35" s="9"/>
      <c r="RR35" s="8">
        <f>SUM(RR36:RR42)</f>
        <v>-2564919.2400000002</v>
      </c>
      <c r="RS35" s="8"/>
      <c r="RT35" s="8">
        <f>SUM(RT36:RT42)</f>
        <v>-922635.34</v>
      </c>
      <c r="RU35" s="8">
        <f>SUM(RU36:RU42)</f>
        <v>0</v>
      </c>
      <c r="RV35" s="8">
        <f>SUM(RV36:RV42)</f>
        <v>-1389476.6999999997</v>
      </c>
      <c r="RW35" s="8"/>
      <c r="RX35" s="8">
        <f>SUM(RX36:RX42)</f>
        <v>793820.73999999918</v>
      </c>
      <c r="RY35" s="8"/>
      <c r="RZ35" s="8">
        <f t="shared" ref="RZ35:RZ42" si="180">SUM(RP35:RX35)</f>
        <v>-7519389.6000000006</v>
      </c>
      <c r="SB35" s="7" t="s">
        <v>41</v>
      </c>
      <c r="SC35" s="8">
        <f>SUM(SC36:SC42)</f>
        <v>-8571381.1599999983</v>
      </c>
      <c r="SD35" s="9"/>
      <c r="SE35" s="8">
        <f>SUM(SE36:SE42)</f>
        <v>-6044308.7799999984</v>
      </c>
      <c r="SF35" s="8"/>
      <c r="SG35" s="8">
        <f>SUM(SG36:SG42)</f>
        <v>-1054181.6399999999</v>
      </c>
      <c r="SH35" s="8">
        <f>SUM(SH36:SH42)</f>
        <v>0</v>
      </c>
      <c r="SI35" s="8">
        <f>SUM(SI36:SI42)</f>
        <v>-1032609.8599999999</v>
      </c>
      <c r="SJ35" s="8"/>
      <c r="SK35" s="8">
        <f>SUM(SK36:SK42)</f>
        <v>3628087.3499999982</v>
      </c>
      <c r="SL35" s="8"/>
      <c r="SM35" s="8">
        <f t="shared" ref="SM35:SM42" si="181">SUM(SC35:SK35)</f>
        <v>-13074394.09</v>
      </c>
      <c r="SO35" s="7" t="s">
        <v>41</v>
      </c>
      <c r="SP35" s="8">
        <f>SUM(SP36:SP42)</f>
        <v>-9336151.4899999984</v>
      </c>
      <c r="SQ35" s="9"/>
      <c r="SR35" s="8">
        <f>SUM(SR36:SR42)</f>
        <v>-2838530.939999999</v>
      </c>
      <c r="SS35" s="8"/>
      <c r="ST35" s="8">
        <f>SUM(ST36:ST42)</f>
        <v>-908561.2300000001</v>
      </c>
      <c r="SU35" s="8">
        <f>SUM(SU36:SU42)</f>
        <v>0</v>
      </c>
      <c r="SV35" s="8">
        <f>SUM(SV36:SV42)</f>
        <v>-1908718.35</v>
      </c>
      <c r="SW35" s="8"/>
      <c r="SX35" s="8">
        <f>SUM(SX36:SX42)</f>
        <v>889189.99000000034</v>
      </c>
      <c r="SY35" s="8"/>
      <c r="SZ35" s="8">
        <f t="shared" ref="SZ35:SZ42" si="182">SUM(SP35:SX35)</f>
        <v>-14102772.019999998</v>
      </c>
      <c r="TB35" s="7" t="s">
        <v>41</v>
      </c>
      <c r="TC35" s="8">
        <f>SUM(TC36:TC42)</f>
        <v>-8011399.3500000006</v>
      </c>
      <c r="TD35" s="9"/>
      <c r="TE35" s="8">
        <f>SUM(TE36:TE42)</f>
        <v>-3146233.3600000003</v>
      </c>
      <c r="TF35" s="8"/>
      <c r="TG35" s="8">
        <f>SUM(TG36:TG42)</f>
        <v>-929205.17999999993</v>
      </c>
      <c r="TH35" s="8">
        <f>SUM(TH36:TH42)</f>
        <v>0</v>
      </c>
      <c r="TI35" s="8">
        <f>SUM(TI36:TI42)</f>
        <v>-1718253.9400000002</v>
      </c>
      <c r="TJ35" s="8"/>
      <c r="TK35" s="8">
        <f>SUM(TK36:TK42)</f>
        <v>1532332.1</v>
      </c>
      <c r="TL35" s="8"/>
      <c r="TM35" s="8">
        <f t="shared" ref="TM35:TM42" si="183">SUM(TC35:TK35)</f>
        <v>-12272759.73</v>
      </c>
      <c r="TO35" s="7" t="s">
        <v>41</v>
      </c>
      <c r="TP35" s="8">
        <f>SUM(TP36:TP42)</f>
        <v>-3833105.3600000003</v>
      </c>
      <c r="TQ35" s="9"/>
      <c r="TR35" s="8">
        <f>SUM(TR36:TR42)</f>
        <v>-2331676.35</v>
      </c>
      <c r="TS35" s="8"/>
      <c r="TT35" s="8">
        <f>SUM(TT36:TT42)</f>
        <v>-1004460.6900000001</v>
      </c>
      <c r="TU35" s="8">
        <f>SUM(TU36:TU42)</f>
        <v>0</v>
      </c>
      <c r="TV35" s="8">
        <f>SUM(TV36:TV42)</f>
        <v>-1577570.4999999998</v>
      </c>
      <c r="TW35" s="8"/>
      <c r="TX35" s="8">
        <f>SUM(TX36:TX42)</f>
        <v>891678.28999999992</v>
      </c>
      <c r="TY35" s="8"/>
      <c r="TZ35" s="8">
        <f t="shared" ref="TZ35:TZ42" si="184">SUM(TP35:TX35)</f>
        <v>-7855134.6100000003</v>
      </c>
      <c r="UB35" s="7" t="s">
        <v>41</v>
      </c>
      <c r="UC35" s="8">
        <f>SUM(UC36:UC42)</f>
        <v>-19842615.090000007</v>
      </c>
      <c r="UD35" s="9"/>
      <c r="UE35" s="8">
        <f>SUM(UE36:UE42)</f>
        <v>-4139890.3000000012</v>
      </c>
      <c r="UF35" s="8"/>
      <c r="UG35" s="8">
        <f>SUM(UG36:UG42)</f>
        <v>-1271197.5799999991</v>
      </c>
      <c r="UH35" s="8">
        <f>SUM(UH36:UH42)</f>
        <v>0</v>
      </c>
      <c r="UI35" s="8">
        <f>SUM(UI36:UI42)</f>
        <v>-1941441.5599999945</v>
      </c>
      <c r="UJ35" s="8"/>
      <c r="UK35" s="8">
        <f>SUM(UK36:UK42)</f>
        <v>2267987.5700000017</v>
      </c>
      <c r="UL35" s="8"/>
      <c r="UM35" s="8">
        <f t="shared" ref="UM35:UM42" si="185">SUM(UC35:UK35)</f>
        <v>-24927156.960000001</v>
      </c>
      <c r="UO35" s="7" t="s">
        <v>41</v>
      </c>
      <c r="UP35" s="8">
        <f>SUM(UP36:UP42)</f>
        <v>-34090759.149999999</v>
      </c>
      <c r="UQ35" s="9"/>
      <c r="UR35" s="8">
        <f>SUM(UR36:UR42)</f>
        <v>-2630610.0900000003</v>
      </c>
      <c r="US35" s="8"/>
      <c r="UT35" s="8">
        <f>SUM(UT36:UT42)</f>
        <v>-1400749.0100000002</v>
      </c>
      <c r="UU35" s="8">
        <f>SUM(UU36:UU42)</f>
        <v>0</v>
      </c>
      <c r="UV35" s="8">
        <f>SUM(UV36:UV42)</f>
        <v>-2329991.259999997</v>
      </c>
      <c r="UW35" s="8"/>
      <c r="UX35" s="8">
        <f>SUM(UX36:UX42)</f>
        <v>1702362.8000000038</v>
      </c>
      <c r="UY35" s="8"/>
      <c r="UZ35" s="8">
        <f t="shared" ref="UZ35:UZ42" si="186">SUM(UP35:UX35)</f>
        <v>-38749746.709999993</v>
      </c>
      <c r="VB35" s="7" t="s">
        <v>41</v>
      </c>
      <c r="VC35" s="8">
        <f>SUM(VC36:VC42)</f>
        <v>-4574021.96</v>
      </c>
      <c r="VD35" s="9"/>
      <c r="VE35" s="8">
        <f>SUM(VE36:VE42)</f>
        <v>-2876303.44</v>
      </c>
      <c r="VF35" s="8"/>
      <c r="VG35" s="8">
        <f>SUM(VG36:VG42)</f>
        <v>-949093.46000000008</v>
      </c>
      <c r="VH35" s="8">
        <f>SUM(VH36:VH42)</f>
        <v>0</v>
      </c>
      <c r="VI35" s="8">
        <f>SUM(VI36:VI42)</f>
        <v>-2429892.6100000003</v>
      </c>
      <c r="VJ35" s="8"/>
      <c r="VK35" s="8">
        <f>SUM(VK36:VK42)</f>
        <v>1229347.5899999996</v>
      </c>
      <c r="VL35" s="8"/>
      <c r="VM35" s="8">
        <f t="shared" ref="VM35:VM42" si="187">SUM(VC35:VK35)</f>
        <v>-9599963.8800000027</v>
      </c>
      <c r="VO35" s="7" t="s">
        <v>41</v>
      </c>
      <c r="VP35" s="8">
        <f>SUM(VP36:VP42)</f>
        <v>-6024167.4399999995</v>
      </c>
      <c r="VQ35" s="9"/>
      <c r="VR35" s="8">
        <f>SUM(VR36:VR42)</f>
        <v>-2809196.77</v>
      </c>
      <c r="VS35" s="8"/>
      <c r="VT35" s="8">
        <f>SUM(VT36:VT42)</f>
        <v>-914489.35</v>
      </c>
      <c r="VU35" s="8">
        <f>SUM(VU36:VU42)</f>
        <v>0</v>
      </c>
      <c r="VV35" s="8">
        <f>SUM(VV36:VV42)</f>
        <v>-2305001.6</v>
      </c>
      <c r="VW35" s="8"/>
      <c r="VX35" s="8">
        <f>SUM(VX36:VX42)</f>
        <v>1162081.6900000002</v>
      </c>
      <c r="VY35" s="8"/>
      <c r="VZ35" s="8">
        <f t="shared" ref="VZ35:VZ42" si="188">SUM(VP35:VX35)</f>
        <v>-10890773.469999999</v>
      </c>
      <c r="WB35" s="7" t="s">
        <v>41</v>
      </c>
      <c r="WC35" s="8">
        <f>SUM(WC36:WC42)</f>
        <v>-21318650.280000001</v>
      </c>
      <c r="WD35" s="9"/>
      <c r="WE35" s="8">
        <f>SUM(WE36:WE42)</f>
        <v>-3002626.9579400667</v>
      </c>
      <c r="WF35" s="8"/>
      <c r="WG35" s="8">
        <f>SUM(WG36:WG42)</f>
        <v>-1014594.3300000001</v>
      </c>
      <c r="WH35" s="8">
        <f>SUM(WH36:WH42)</f>
        <v>0</v>
      </c>
      <c r="WI35" s="8">
        <f>SUM(WI36:WI42)</f>
        <v>-3618000.2600000002</v>
      </c>
      <c r="WJ35" s="8"/>
      <c r="WK35" s="8">
        <f>SUM(WK36:WK42)</f>
        <v>1120042.8900000029</v>
      </c>
      <c r="WL35" s="8"/>
      <c r="WM35" s="8">
        <f t="shared" ref="WM35:WM42" si="189">SUM(WC35:WK35)</f>
        <v>-27833828.937940069</v>
      </c>
      <c r="WO35" s="7" t="s">
        <v>41</v>
      </c>
      <c r="WP35" s="8">
        <f>SUM(WP36:WP42)</f>
        <v>-14752048.042933788</v>
      </c>
      <c r="WQ35" s="9"/>
      <c r="WR35" s="8">
        <f>SUM(WR36:WR42)</f>
        <v>-2876367.2020599335</v>
      </c>
      <c r="WS35" s="8"/>
      <c r="WT35" s="8">
        <f>SUM(WT36:WT42)</f>
        <v>-1154476.74</v>
      </c>
      <c r="WU35" s="8">
        <f>SUM(WU36:WU42)</f>
        <v>0</v>
      </c>
      <c r="WV35" s="8">
        <f>SUM(WV36:WV42)</f>
        <v>-1789142.31</v>
      </c>
      <c r="WW35" s="8"/>
      <c r="WX35" s="8">
        <f>SUM(WX36:WX42)</f>
        <v>1189502.6599999997</v>
      </c>
      <c r="WY35" s="8"/>
      <c r="WZ35" s="8">
        <f t="shared" ref="WZ35:WZ42" si="190">SUM(WP35:WX35)</f>
        <v>-19382531.634993717</v>
      </c>
      <c r="XB35" s="7" t="s">
        <v>41</v>
      </c>
      <c r="XC35" s="8">
        <f>SUM(XC36:XC42)</f>
        <v>-11859360.36706621</v>
      </c>
      <c r="XD35" s="9"/>
      <c r="XE35" s="8">
        <f>SUM(XE36:XE42)</f>
        <v>-3395121.5</v>
      </c>
      <c r="XF35" s="8"/>
      <c r="XG35" s="8">
        <f>SUM(XG36:XG42)</f>
        <v>-1033568.24</v>
      </c>
      <c r="XH35" s="8">
        <f>SUM(XH36:XH42)</f>
        <v>0</v>
      </c>
      <c r="XI35" s="8">
        <f>SUM(XI36:XI42)</f>
        <v>-2185380.0264668977</v>
      </c>
      <c r="XJ35" s="8"/>
      <c r="XK35" s="8">
        <f>SUM(XK36:XK42)</f>
        <v>958999.24000000034</v>
      </c>
      <c r="XL35" s="8"/>
      <c r="XM35" s="8">
        <f t="shared" ref="XM35:XM42" si="191">SUM(XC35:XK35)</f>
        <v>-17514430.893533107</v>
      </c>
      <c r="XO35" s="7" t="s">
        <v>41</v>
      </c>
      <c r="XP35" s="8">
        <f>SUM(XP36:XP42)</f>
        <v>-4286951.6000000006</v>
      </c>
      <c r="XQ35" s="9"/>
      <c r="XR35" s="8">
        <f>SUM(XR36:XR42)</f>
        <v>-2939962.3499999996</v>
      </c>
      <c r="XS35" s="8"/>
      <c r="XT35" s="8">
        <f>SUM(XT36:XT42)</f>
        <v>-977273.02</v>
      </c>
      <c r="XU35" s="8">
        <f>SUM(XU36:XU42)</f>
        <v>0</v>
      </c>
      <c r="XV35" s="8">
        <f>SUM(XV36:XV42)</f>
        <v>-1943647.3135331031</v>
      </c>
      <c r="XW35" s="8"/>
      <c r="XX35" s="8">
        <f>SUM(XX36:XX42)</f>
        <v>1584854.75</v>
      </c>
      <c r="XY35" s="8"/>
      <c r="XZ35" s="8">
        <f t="shared" ref="XZ35:XZ42" si="192">SUM(XP35:XX35)</f>
        <v>-8562979.5335331038</v>
      </c>
      <c r="YB35" s="7" t="s">
        <v>41</v>
      </c>
      <c r="YC35" s="8">
        <f>SUM(YC36:YC42)</f>
        <v>-18410321.879999999</v>
      </c>
      <c r="YD35" s="9"/>
      <c r="YE35" s="8">
        <f>SUM(YE36:YE42)</f>
        <v>-3005059.2799999975</v>
      </c>
      <c r="YF35" s="8"/>
      <c r="YG35" s="8">
        <f>SUM(YG36:YG42)</f>
        <v>-1333569.1200000001</v>
      </c>
      <c r="YH35" s="8">
        <f>SUM(YH36:YH42)</f>
        <v>0</v>
      </c>
      <c r="YI35" s="8">
        <f>SUM(YI36:YI42)</f>
        <v>-2548071.1030174699</v>
      </c>
      <c r="YJ35" s="8"/>
      <c r="YK35" s="8">
        <f>SUM(YK36:YK42)</f>
        <v>-270558.75349540357</v>
      </c>
      <c r="YL35" s="8"/>
      <c r="YM35" s="8">
        <f t="shared" ref="YM35:YM42" si="193">SUM(YC35:YK35)</f>
        <v>-25567580.136512868</v>
      </c>
      <c r="YO35" s="7"/>
      <c r="YP35" s="8"/>
      <c r="YQ35" s="9"/>
      <c r="YR35" s="8"/>
      <c r="YS35" s="8"/>
      <c r="YT35" s="8"/>
      <c r="YU35" s="8"/>
      <c r="YV35" s="8"/>
      <c r="YW35" s="8"/>
      <c r="YX35" s="8"/>
      <c r="YY35" s="8"/>
      <c r="YZ35" s="8"/>
    </row>
    <row r="36" spans="1:676">
      <c r="A36" s="18" t="s">
        <v>22</v>
      </c>
      <c r="B36" s="2">
        <f t="shared" ref="B36:B42" si="194">B10-R10</f>
        <v>-9765849.2232497707</v>
      </c>
      <c r="C36" s="2"/>
      <c r="D36" s="2">
        <f t="shared" ref="D36:D42" si="195">D10-T10</f>
        <v>-7033257.7832734622</v>
      </c>
      <c r="F36" s="2">
        <f t="shared" ref="F36:F42" si="196">F10-V10</f>
        <v>0</v>
      </c>
      <c r="H36" s="2">
        <f t="shared" ref="H36:H41" si="197">H10-X10</f>
        <v>0</v>
      </c>
      <c r="J36" s="2">
        <f t="shared" ref="J36:J42" si="198">J10-Z10</f>
        <v>-293182.41000000015</v>
      </c>
      <c r="L36" s="2">
        <f t="shared" ref="L36:L42" si="199">L10-AB10</f>
        <v>812935.43000000017</v>
      </c>
      <c r="N36" s="2">
        <f t="shared" ref="N36:N42" si="200">SUM(B36:L36)</f>
        <v>-16279353.986523233</v>
      </c>
      <c r="Q36" s="18" t="s">
        <v>22</v>
      </c>
      <c r="R36" s="2">
        <f t="shared" ref="R36:R42" si="201">R10-AH10</f>
        <v>-9670979.6986442283</v>
      </c>
      <c r="S36" s="2"/>
      <c r="T36" s="2">
        <f t="shared" ref="T36:T42" si="202">T10-AJ10</f>
        <v>-6105960.3839091174</v>
      </c>
      <c r="V36" s="2">
        <f t="shared" ref="V36:V42" si="203">V10-AL10</f>
        <v>0</v>
      </c>
      <c r="W36" s="2"/>
      <c r="X36" s="2">
        <f t="shared" ref="X36:X41" si="204">X10-AN10</f>
        <v>0</v>
      </c>
      <c r="Z36" s="2">
        <f t="shared" ref="Z36:Z42" si="205">Z10-AP10</f>
        <v>-287711.42999999993</v>
      </c>
      <c r="AB36" s="2">
        <f t="shared" ref="AB36:AB42" si="206">AB10-AR10</f>
        <v>833194.41999999969</v>
      </c>
      <c r="AD36" s="71">
        <f t="shared" ref="AD36:AD42" si="207">SUM(R36:AB36)</f>
        <v>-15231457.092553345</v>
      </c>
      <c r="AG36" s="18" t="s">
        <v>22</v>
      </c>
      <c r="AH36" s="2">
        <f t="shared" ref="AH36:AH42" si="208">AH10-AX10</f>
        <v>-9019248.7588590011</v>
      </c>
      <c r="AI36" s="2"/>
      <c r="AJ36" s="2">
        <f t="shared" ref="AJ36:AJ42" si="209">AJ10-AZ10</f>
        <v>-5729091.1566046085</v>
      </c>
      <c r="AL36" s="2">
        <f t="shared" ref="AL36:AL42" si="210">AL10-BB10</f>
        <v>0</v>
      </c>
      <c r="AM36" s="2"/>
      <c r="AN36" s="2">
        <f t="shared" ref="AN36:AN42" si="211">AN10-BD10</f>
        <v>0</v>
      </c>
      <c r="AP36" s="2">
        <f t="shared" ref="AP36:AP42" si="212">AP10-BF10</f>
        <v>-358881.75</v>
      </c>
      <c r="AR36" s="2">
        <f t="shared" ref="AR36:AR43" si="213">AR10-BH10</f>
        <v>946470.3</v>
      </c>
      <c r="AT36" s="71">
        <f t="shared" ref="AT36:AT42" si="214">SUM(AH36:AR36)</f>
        <v>-14160751.365463609</v>
      </c>
      <c r="AW36" s="18" t="s">
        <v>22</v>
      </c>
      <c r="AX36" s="2">
        <f t="shared" ref="AX36" si="215">AX10</f>
        <v>-8529835.6392470002</v>
      </c>
      <c r="AY36" s="2"/>
      <c r="AZ36" s="2">
        <f t="shared" ref="AZ36" si="216">AZ10</f>
        <v>-5623880.9762128126</v>
      </c>
      <c r="BB36" s="2">
        <f t="shared" ref="BB36" si="217">BB10</f>
        <v>0</v>
      </c>
      <c r="BC36" s="2"/>
      <c r="BD36" s="2">
        <f t="shared" ref="BD36" si="218">BD10</f>
        <v>0</v>
      </c>
      <c r="BF36" s="2">
        <f t="shared" ref="BF36" si="219">BF10</f>
        <v>-305794.76</v>
      </c>
      <c r="BH36" s="2">
        <f t="shared" ref="BH36" si="220">BH10</f>
        <v>894644.75</v>
      </c>
      <c r="BJ36" s="2">
        <f>SUM(AX36:BH36)</f>
        <v>-13564866.625459813</v>
      </c>
      <c r="BM36" s="18" t="s">
        <v>22</v>
      </c>
      <c r="BN36" s="2">
        <f t="shared" ref="BN36:BN42" si="221">BN10-CD10</f>
        <v>-8105391.1178194433</v>
      </c>
      <c r="BO36" s="2"/>
      <c r="BP36" s="2">
        <f t="shared" ref="BP36:BP42" si="222">BP10-CF10</f>
        <v>-5476623.2997422311</v>
      </c>
      <c r="BR36" s="2">
        <f t="shared" ref="BR36:BR42" si="223">BR10-CH10</f>
        <v>0</v>
      </c>
      <c r="BT36" s="2">
        <f t="shared" ref="BT36:BT42" si="224">BT10-CJ10</f>
        <v>0</v>
      </c>
      <c r="BV36" s="2">
        <f t="shared" ref="BV36:BV42" si="225">BV10-CL10</f>
        <v>-320078.62000000011</v>
      </c>
      <c r="BX36" s="2">
        <f t="shared" ref="BX36:BX42" si="226">BX10-CN10</f>
        <v>891832.08491666708</v>
      </c>
      <c r="BZ36" s="2">
        <f>SUM(BN36:BX36)</f>
        <v>-13010260.952645008</v>
      </c>
      <c r="CC36" s="18" t="s">
        <v>22</v>
      </c>
      <c r="CD36" s="2">
        <f t="shared" ref="CD36:CD42" si="227">CD10-CT10</f>
        <v>-7625548.127642557</v>
      </c>
      <c r="CE36" s="2"/>
      <c r="CF36" s="2">
        <f t="shared" ref="CF36:CF42" si="228">CF10-CV10</f>
        <v>-5013172.0865295585</v>
      </c>
      <c r="CH36" s="2">
        <f t="shared" ref="CH36:CH42" si="229">CH10-CX10</f>
        <v>0</v>
      </c>
      <c r="CI36" s="2"/>
      <c r="CJ36" s="2">
        <f t="shared" ref="CJ36:CJ42" si="230">CJ10-CZ10</f>
        <v>0</v>
      </c>
      <c r="CL36" s="2">
        <f t="shared" ref="CL36:CL42" si="231">CL10-DB10</f>
        <v>-293263.8899999999</v>
      </c>
      <c r="CN36" s="2">
        <f t="shared" ref="CN36:CN42" si="232">CN10-DD10</f>
        <v>849989.14000000013</v>
      </c>
      <c r="CP36" s="2">
        <f>SUM(CD36:CN36)</f>
        <v>-12081994.964172116</v>
      </c>
      <c r="CS36" s="18" t="s">
        <v>22</v>
      </c>
      <c r="CT36" s="2">
        <f t="shared" ref="CT36:CT42" si="233">CT10-DJ10</f>
        <v>-7988351.9768419992</v>
      </c>
      <c r="CU36" s="2"/>
      <c r="CV36" s="2">
        <f t="shared" ref="CV36:CV42" si="234">CV10-DL10</f>
        <v>-5243483.1176196355</v>
      </c>
      <c r="CX36" s="2">
        <f t="shared" ref="CX36:CX42" si="235">CX10-DN10</f>
        <v>0</v>
      </c>
      <c r="CY36" s="2"/>
      <c r="CZ36" s="2">
        <f t="shared" ref="CZ36:CZ42" si="236">CZ10-DP10</f>
        <v>0</v>
      </c>
      <c r="DB36" s="2">
        <f t="shared" ref="DB36:DB42" si="237">DB10-DR10</f>
        <v>-310804.94000000006</v>
      </c>
      <c r="DD36" s="2">
        <f t="shared" ref="DD36:DD42" si="238">DD10-DT10</f>
        <v>812178.87999999989</v>
      </c>
      <c r="DF36" s="2">
        <f>SUM(CT36:DD36)</f>
        <v>-12730461.154461633</v>
      </c>
      <c r="DI36" s="18" t="s">
        <v>22</v>
      </c>
      <c r="DJ36" s="2">
        <f>DJ10</f>
        <v>-6642677.7900859993</v>
      </c>
      <c r="DK36" s="2"/>
      <c r="DL36" s="2">
        <f>DL10</f>
        <v>-4713120.5078931879</v>
      </c>
      <c r="DN36" s="2">
        <f>DN10</f>
        <v>0</v>
      </c>
      <c r="DO36" s="2"/>
      <c r="DP36" s="2">
        <f>DP10</f>
        <v>0</v>
      </c>
      <c r="DR36" s="2">
        <f>DR10</f>
        <v>-471033.61</v>
      </c>
      <c r="DT36" s="2">
        <f>DT10</f>
        <v>786496.08000000007</v>
      </c>
      <c r="DV36" s="2">
        <f>SUM(DJ36:DT36)</f>
        <v>-11040335.827979187</v>
      </c>
      <c r="DY36" s="18" t="s">
        <v>22</v>
      </c>
      <c r="DZ36" s="2">
        <f>DZ10-EN10</f>
        <v>-5653232.006533552</v>
      </c>
      <c r="EA36" s="2"/>
      <c r="EB36" s="2">
        <f>EB10-EP10</f>
        <v>-4703404.1798211969</v>
      </c>
      <c r="ED36" s="2">
        <f>ED10-ER10</f>
        <v>0</v>
      </c>
      <c r="EF36" s="2">
        <f>EF10-ET10</f>
        <v>-350317.8899999999</v>
      </c>
      <c r="EH36" s="2">
        <f>EH10-EV10</f>
        <v>820109.85884091957</v>
      </c>
      <c r="EJ36" s="2">
        <f>SUM(DZ36:EH36)</f>
        <v>-9886844.2175138295</v>
      </c>
      <c r="EM36" s="18" t="s">
        <v>22</v>
      </c>
      <c r="EN36" s="2">
        <f t="shared" ref="EN36:EV42" si="239">EN10-FB10</f>
        <v>-4995712.4238384441</v>
      </c>
      <c r="EO36" s="2"/>
      <c r="EP36" s="2">
        <f t="shared" si="239"/>
        <v>-4513291.8969985656</v>
      </c>
      <c r="ER36" s="2">
        <f t="shared" si="239"/>
        <v>0</v>
      </c>
      <c r="ET36" s="2">
        <f t="shared" si="239"/>
        <v>-350270.11</v>
      </c>
      <c r="EV36" s="2">
        <f t="shared" si="239"/>
        <v>732540.06524999999</v>
      </c>
      <c r="EX36" s="2">
        <f>SUM(EN36:EV36)</f>
        <v>-9126734.3655870091</v>
      </c>
      <c r="FA36" s="18" t="s">
        <v>22</v>
      </c>
      <c r="FB36" s="2">
        <f t="shared" ref="FB36:FJ42" si="240">FB10-FP10</f>
        <v>-6128169.2934636679</v>
      </c>
      <c r="FC36" s="2"/>
      <c r="FD36" s="2">
        <f t="shared" si="240"/>
        <v>-4748154.1821388695</v>
      </c>
      <c r="FF36" s="2">
        <f t="shared" si="240"/>
        <v>0</v>
      </c>
      <c r="FH36" s="2">
        <f t="shared" si="240"/>
        <v>-349976.58999999997</v>
      </c>
      <c r="FJ36" s="2">
        <f t="shared" si="240"/>
        <v>758668.80524999974</v>
      </c>
      <c r="FL36" s="2">
        <f>SUM(FB36:FJ36)</f>
        <v>-10467631.260352537</v>
      </c>
      <c r="FO36" s="18" t="s">
        <v>22</v>
      </c>
      <c r="FP36" s="2">
        <f t="shared" ref="FP36:FR36" si="241">FP10</f>
        <v>-3937027.4353866666</v>
      </c>
      <c r="FQ36" s="2"/>
      <c r="FR36" s="2">
        <f t="shared" si="241"/>
        <v>-4617529.6964099538</v>
      </c>
      <c r="FT36" s="2">
        <f t="shared" ref="FT36" si="242">FT10</f>
        <v>0</v>
      </c>
      <c r="FV36" s="2">
        <f t="shared" ref="FV36" si="243">FV10</f>
        <v>-317223.04000000004</v>
      </c>
      <c r="FX36" s="2">
        <f t="shared" ref="FX36" si="244">FX10</f>
        <v>682111.89525000006</v>
      </c>
      <c r="FZ36" s="2">
        <f>SUM(FP36:FX36)</f>
        <v>-8189668.2765466198</v>
      </c>
      <c r="GC36" s="18" t="s">
        <v>22</v>
      </c>
      <c r="GD36" s="2">
        <f>GD10-GR10</f>
        <v>-2574882.2949999999</v>
      </c>
      <c r="GE36" s="2"/>
      <c r="GF36" s="2">
        <f t="shared" ref="GF36:GF42" si="245">GF10-GT10</f>
        <v>-4903092.3347195145</v>
      </c>
      <c r="GH36" s="2">
        <f t="shared" ref="GH36:GH42" si="246">GH10-GV10</f>
        <v>0</v>
      </c>
      <c r="GJ36" s="2">
        <f t="shared" ref="GJ36:GJ42" si="247">GJ10-GX10</f>
        <v>-339255.87000000011</v>
      </c>
      <c r="GL36" s="2">
        <f t="shared" ref="GL36:GL42" si="248">GL10-GZ10</f>
        <v>1030391.8874959475</v>
      </c>
      <c r="GN36" s="2">
        <f>SUM(GD36:GL36)</f>
        <v>-6786838.6122235674</v>
      </c>
      <c r="GQ36" s="18" t="s">
        <v>22</v>
      </c>
      <c r="GR36" s="2">
        <f t="shared" ref="GR36:GR42" si="249">GR10-HF10</f>
        <v>-3217080.8225249993</v>
      </c>
      <c r="GS36" s="2"/>
      <c r="GT36" s="2">
        <f t="shared" ref="GT36:GT42" si="250">GT10-HH10</f>
        <v>-4246322.158499999</v>
      </c>
      <c r="GV36" s="2">
        <f t="shared" ref="GV36:GV42" si="251">GV10-HJ10</f>
        <v>0</v>
      </c>
      <c r="GX36" s="2">
        <f t="shared" ref="GX36:GX42" si="252">GX10-HL10</f>
        <v>-278090.53999999992</v>
      </c>
      <c r="GZ36" s="2">
        <f t="shared" ref="GZ36:GZ42" si="253">GZ10-HN10</f>
        <v>545531.43685607333</v>
      </c>
      <c r="HB36" s="2">
        <f>SUM(GR36:GZ36)</f>
        <v>-7195962.084168925</v>
      </c>
      <c r="HE36" s="18" t="s">
        <v>22</v>
      </c>
      <c r="HF36" s="2">
        <f t="shared" ref="HF36:HF42" si="254">HF10-HT10</f>
        <v>-2944187.0841570003</v>
      </c>
      <c r="HG36" s="2"/>
      <c r="HH36" s="2">
        <f t="shared" ref="HH36:HH42" si="255">HH10-HV10</f>
        <v>-4454710.0114999991</v>
      </c>
      <c r="HJ36" s="2">
        <f t="shared" ref="HJ36:HJ42" si="256">HJ10-HX10</f>
        <v>0</v>
      </c>
      <c r="HL36" s="2">
        <f t="shared" ref="HL36:HL42" si="257">HL10-HZ10</f>
        <v>-300829.09000000003</v>
      </c>
      <c r="HN36" s="2">
        <f t="shared" ref="HN36:HN42" si="258">HN10-IB10</f>
        <v>622230.23553321057</v>
      </c>
      <c r="HP36" s="2">
        <f>SUM(HF36:HN36)</f>
        <v>-7077495.9501237888</v>
      </c>
      <c r="HS36" s="18" t="s">
        <v>22</v>
      </c>
      <c r="HT36" s="2">
        <f>HT10</f>
        <v>-2966651.17</v>
      </c>
      <c r="HU36" s="2"/>
      <c r="HV36" s="2">
        <f>HV10</f>
        <v>-3881233.4900000007</v>
      </c>
      <c r="HX36" s="2">
        <f>HX10</f>
        <v>0</v>
      </c>
      <c r="HZ36" s="2">
        <f>HZ10</f>
        <v>-273075.83</v>
      </c>
      <c r="IB36" s="2">
        <f>IB10</f>
        <v>513885.41311476834</v>
      </c>
      <c r="ID36" s="2">
        <f>SUM(HT36:IB36)</f>
        <v>-6607075.0768852318</v>
      </c>
      <c r="IG36" s="18" t="s">
        <v>22</v>
      </c>
      <c r="IH36" s="2">
        <f t="shared" ref="IH36:IH42" si="259">IH10-IV10</f>
        <v>-2382768.08</v>
      </c>
      <c r="II36" s="2"/>
      <c r="IJ36" s="2">
        <f t="shared" ref="IJ36:IJ42" si="260">IJ10-IX10</f>
        <v>-3818190.4399999976</v>
      </c>
      <c r="IL36" s="2">
        <f t="shared" ref="IL36:IL42" si="261">IL10-IZ10</f>
        <v>0</v>
      </c>
      <c r="IN36" s="2">
        <f t="shared" ref="IN36:IN42" si="262">IN10-JB10</f>
        <v>-293654.17000000016</v>
      </c>
      <c r="IP36" s="2">
        <f t="shared" ref="IP36:IP41" si="263">IP10-JD10</f>
        <v>504110.81756092468</v>
      </c>
      <c r="IR36" s="2">
        <f>SUM(IH36:IP36)</f>
        <v>-5990501.8724390734</v>
      </c>
      <c r="IU36" s="18" t="s">
        <v>22</v>
      </c>
      <c r="IV36" s="2">
        <f t="shared" ref="IV36:JD42" si="264">IV10-JJ10</f>
        <v>-1865432.2599999998</v>
      </c>
      <c r="IW36" s="2"/>
      <c r="IX36" s="2">
        <f t="shared" si="264"/>
        <v>-3887122.8500000006</v>
      </c>
      <c r="IZ36" s="2">
        <f t="shared" si="264"/>
        <v>0</v>
      </c>
      <c r="JB36" s="2">
        <f t="shared" si="264"/>
        <v>-324118.01</v>
      </c>
      <c r="JD36" s="2">
        <f t="shared" si="264"/>
        <v>502819.898293996</v>
      </c>
      <c r="JF36" s="2">
        <f>SUM(IV36:JD36)</f>
        <v>-5573853.2217060039</v>
      </c>
      <c r="JI36" s="18" t="s">
        <v>22</v>
      </c>
      <c r="JJ36" s="2">
        <f t="shared" ref="JJ36:JJ42" si="265">JJ10-JX10</f>
        <v>-1989460.9700000002</v>
      </c>
      <c r="JK36" s="2"/>
      <c r="JL36" s="2">
        <f t="shared" ref="JL36:JL42" si="266">JL10-JZ10</f>
        <v>-3548264.4600000014</v>
      </c>
      <c r="JN36" s="2">
        <f t="shared" ref="JN36:JN42" si="267">JN10-KB10</f>
        <v>0</v>
      </c>
      <c r="JP36" s="2">
        <f t="shared" ref="JP36:JP42" si="268">JP10-KD10</f>
        <v>-337775.15</v>
      </c>
      <c r="JR36" s="2">
        <f t="shared" ref="JR36:JR42" si="269">JR10-KF10</f>
        <v>453592.01555853186</v>
      </c>
      <c r="JT36" s="2">
        <f>SUM(JJ36:JR36)</f>
        <v>-5421908.5644414704</v>
      </c>
      <c r="JW36" s="18" t="s">
        <v>22</v>
      </c>
      <c r="JX36" s="2">
        <f>JX10</f>
        <v>-2655160.4300000002</v>
      </c>
      <c r="JY36" s="2"/>
      <c r="JZ36" s="2">
        <f>JZ10</f>
        <v>-3868039.93</v>
      </c>
      <c r="KB36" s="2">
        <f>KB10</f>
        <v>0</v>
      </c>
      <c r="KD36" s="2">
        <f>KD10</f>
        <v>-344887.85</v>
      </c>
      <c r="KF36" s="2">
        <f>KF10</f>
        <v>666866.91858654784</v>
      </c>
      <c r="KH36" s="2">
        <f>SUM(JX36:KF36)</f>
        <v>-6201221.2914134525</v>
      </c>
      <c r="KK36" s="18" t="s">
        <v>22</v>
      </c>
      <c r="KL36" s="2">
        <f t="shared" ref="KL36:KL42" si="270">KL10-KZ10</f>
        <v>-1960260.040000001</v>
      </c>
      <c r="KM36" s="2"/>
      <c r="KN36" s="2">
        <f t="shared" ref="KN36:KN42" si="271">KN10-LB10</f>
        <v>-3402832.0199999996</v>
      </c>
      <c r="KP36" s="2">
        <f t="shared" ref="KP36:KP42" si="272">KP10-LD10</f>
        <v>0</v>
      </c>
      <c r="KR36" s="2">
        <f t="shared" ref="KR36:KR42" si="273">KR10-LF10</f>
        <v>-320345.37000000011</v>
      </c>
      <c r="KT36" s="2">
        <f t="shared" ref="KT36:KT42" si="274">KT10-LH10</f>
        <v>389118.4784775204</v>
      </c>
      <c r="KV36" s="2">
        <f>SUM(KL36:KT36)</f>
        <v>-5294318.9515224807</v>
      </c>
      <c r="KY36" s="18" t="s">
        <v>22</v>
      </c>
      <c r="KZ36" s="2">
        <f t="shared" ref="KZ36:KZ40" si="275">KZ10-LN10</f>
        <v>-2024421.04</v>
      </c>
      <c r="LA36" s="2"/>
      <c r="LB36" s="2">
        <f t="shared" ref="LB36:LB40" si="276">LB10-LP10</f>
        <v>-3185097.0999999996</v>
      </c>
      <c r="LD36" s="2">
        <f t="shared" ref="LD36:LD40" si="277">LD10-LR10</f>
        <v>0</v>
      </c>
      <c r="LF36" s="2">
        <f t="shared" ref="LF36:LF40" si="278">LF10-LT10</f>
        <v>-383878.16999999993</v>
      </c>
      <c r="LH36" s="2">
        <f t="shared" ref="LH36:LH40" si="279">LH10-LV10</f>
        <v>734242.08776195021</v>
      </c>
      <c r="LJ36" s="2">
        <f t="shared" ref="LJ36:LJ42" si="280">SUM(KZ36:LH36)</f>
        <v>-4859154.2222380489</v>
      </c>
      <c r="LM36" s="18" t="s">
        <v>22</v>
      </c>
      <c r="LN36" s="2">
        <f>LN10-MA10</f>
        <v>-2059797.0900000003</v>
      </c>
      <c r="LO36" s="2"/>
      <c r="LP36" s="2">
        <f>LP10-MC10</f>
        <v>-3339099.8399999989</v>
      </c>
      <c r="LR36" s="2">
        <f>LR10-ME10</f>
        <v>0</v>
      </c>
      <c r="LT36" s="2">
        <f>LT10-MG10</f>
        <v>-358159.04000000004</v>
      </c>
      <c r="LV36" s="2">
        <f t="shared" ref="LV36:LV42" si="281">LV10-MI10</f>
        <v>730081.9556549472</v>
      </c>
      <c r="LX36" s="2">
        <f t="shared" ref="LX36:LX42" si="282">SUM(LN36:LV36)</f>
        <v>-5026974.0143450527</v>
      </c>
      <c r="LZ36" s="18" t="s">
        <v>22</v>
      </c>
      <c r="MA36" s="2">
        <f t="shared" ref="MA36:MA42" si="283">MA10</f>
        <v>-2484122.5399999996</v>
      </c>
      <c r="MB36" s="2"/>
      <c r="MC36" s="2">
        <f t="shared" ref="MC36:MC42" si="284">MC10</f>
        <v>-3057011.3</v>
      </c>
      <c r="ME36" s="2">
        <f t="shared" ref="ME36:ME42" si="285">ME10</f>
        <v>0</v>
      </c>
      <c r="MF36" s="61"/>
      <c r="MG36" s="2">
        <f t="shared" ref="MG36:MG42" si="286">MG10</f>
        <v>-366625.70999999996</v>
      </c>
      <c r="MI36" s="2">
        <f t="shared" ref="MI36:MI42" si="287">MI10</f>
        <v>737651.36425998749</v>
      </c>
      <c r="MK36" s="2">
        <f>SUM(MA36:MI36)</f>
        <v>-5170108.1857400127</v>
      </c>
      <c r="MM36" s="18" t="s">
        <v>22</v>
      </c>
      <c r="MN36" s="2">
        <f t="shared" ref="MN36:MV42" si="288">MN10-NB10</f>
        <v>-1820081.8500000015</v>
      </c>
      <c r="MO36" s="2"/>
      <c r="MP36" s="2">
        <f t="shared" si="288"/>
        <v>-2585341.3299999982</v>
      </c>
      <c r="MR36" s="2">
        <f t="shared" si="288"/>
        <v>0</v>
      </c>
      <c r="MT36" s="2">
        <f t="shared" si="288"/>
        <v>-331338.90000000014</v>
      </c>
      <c r="MV36" s="2">
        <f t="shared" si="288"/>
        <v>756946.86500000162</v>
      </c>
      <c r="MX36" s="2">
        <f>SUM(MN36:MV36)</f>
        <v>-3979815.2149999985</v>
      </c>
      <c r="NA36" s="18" t="s">
        <v>22</v>
      </c>
      <c r="NB36" s="2">
        <f t="shared" ref="NB36:NB42" si="289">NB10-NP10</f>
        <v>-1859151.7000000002</v>
      </c>
      <c r="NC36" s="2"/>
      <c r="ND36" s="2">
        <f t="shared" ref="ND36:ND42" si="290">ND10-NR10</f>
        <v>-2693876.5300000021</v>
      </c>
      <c r="NF36" s="2">
        <f t="shared" ref="NF36:NF42" si="291">NF10-NT10</f>
        <v>0</v>
      </c>
      <c r="NH36" s="2">
        <f t="shared" ref="NH36:NH42" si="292">NH10-NV10</f>
        <v>-431944.40999999992</v>
      </c>
      <c r="NJ36" s="2">
        <f t="shared" ref="NJ36:NJ42" si="293">NJ10-NX10</f>
        <v>909258.95499999844</v>
      </c>
      <c r="NL36" s="2">
        <f t="shared" ref="NL36:NL42" si="294">SUM(NB36:NJ36)</f>
        <v>-4075713.6850000042</v>
      </c>
      <c r="NO36" s="18" t="s">
        <v>22</v>
      </c>
      <c r="NP36" s="2">
        <f>NP10-OC10</f>
        <v>-3140012.8199999994</v>
      </c>
      <c r="NQ36" s="2"/>
      <c r="NR36" s="2">
        <f>NR10-OE10</f>
        <v>-2394195.6899999995</v>
      </c>
      <c r="NT36" s="2">
        <f>NT10-OG10</f>
        <v>0</v>
      </c>
      <c r="NV36" s="2">
        <f>NV10-OI10</f>
        <v>-435833.86000000004</v>
      </c>
      <c r="NX36" s="2">
        <f t="shared" ref="NV36:NX42" si="295">NX10-OK10</f>
        <v>677705.83500000066</v>
      </c>
      <c r="NZ36" s="2">
        <f t="shared" ref="NZ36:NZ42" si="296">SUM(NP36:NX36)</f>
        <v>-5292336.5349999983</v>
      </c>
      <c r="OB36" s="18" t="s">
        <v>22</v>
      </c>
      <c r="OC36" s="2">
        <f>OC10</f>
        <v>-2913885.34</v>
      </c>
      <c r="OD36" s="2"/>
      <c r="OE36" s="2">
        <f>OE10</f>
        <v>-2699915.3</v>
      </c>
      <c r="OG36" s="2">
        <f t="shared" ref="OG36:OG42" si="297">OG10</f>
        <v>0</v>
      </c>
      <c r="OH36" s="61"/>
      <c r="OI36" s="2">
        <f t="shared" ref="OI36:OI42" si="298">OI10</f>
        <v>-439063.19</v>
      </c>
      <c r="OK36" s="2">
        <f t="shared" ref="OK36:OK42" si="299">OK10</f>
        <v>854266.93499999959</v>
      </c>
      <c r="OM36" s="2">
        <f t="shared" ref="OM36:OM42" si="300">SUM(OC36:OK36)</f>
        <v>-5198596.8950000005</v>
      </c>
      <c r="OO36" s="18" t="s">
        <v>22</v>
      </c>
      <c r="OP36" s="2">
        <f>OP10-PC10</f>
        <v>-1950249.0099999979</v>
      </c>
      <c r="OQ36" s="2"/>
      <c r="OR36" s="2">
        <f>OR10-PE10-226860</f>
        <v>-2175871.8800000027</v>
      </c>
      <c r="OT36" s="53">
        <v>0</v>
      </c>
      <c r="OV36" s="2">
        <v>-462272.98000000021</v>
      </c>
      <c r="OW36" s="2">
        <f t="shared" ref="OW36:OW39" si="301">OW10-PJ10</f>
        <v>0</v>
      </c>
      <c r="OX36" s="2">
        <v>-144651.34254166298</v>
      </c>
      <c r="OZ36" s="2">
        <f t="shared" si="175"/>
        <v>-4733045.212541664</v>
      </c>
      <c r="PB36" s="18" t="s">
        <v>22</v>
      </c>
      <c r="PC36" s="2">
        <f>PC10-PP10</f>
        <v>-1755537.620000001</v>
      </c>
      <c r="PD36" s="2"/>
      <c r="PE36" s="2">
        <f>PE10-PR10</f>
        <v>-3335560.7599999979</v>
      </c>
      <c r="PG36" s="39">
        <f>PG10-PT10</f>
        <v>0</v>
      </c>
      <c r="PI36" s="2">
        <f>PI10-PV10</f>
        <v>-412384.51999999955</v>
      </c>
      <c r="PK36" s="2">
        <f>PK10-PX10</f>
        <v>1246105.0618750006</v>
      </c>
      <c r="PM36" s="2">
        <f t="shared" si="176"/>
        <v>-4257377.8381249979</v>
      </c>
      <c r="PO36" s="18" t="s">
        <v>22</v>
      </c>
      <c r="PP36" s="2">
        <f>PP10-QC10</f>
        <v>-2140752.7699999996</v>
      </c>
      <c r="PQ36" s="2"/>
      <c r="PR36" s="2">
        <f>PR10-QE10</f>
        <v>-2602581.959999999</v>
      </c>
      <c r="PT36" s="39">
        <f>PT10-QG10</f>
        <v>0</v>
      </c>
      <c r="PV36" s="2">
        <f>PV10-QI10</f>
        <v>-467946.1800000004</v>
      </c>
      <c r="PX36" s="2">
        <f>PX10-QK10</f>
        <v>1052006.3426249977</v>
      </c>
      <c r="PZ36" s="2">
        <f t="shared" ref="PZ36:PZ42" si="302">SUM(PP36:PX36)</f>
        <v>-4159274.5673750015</v>
      </c>
      <c r="QB36" s="18" t="s">
        <v>22</v>
      </c>
      <c r="QC36" s="2">
        <f>QC10-QP10-QT10</f>
        <v>-2329039.3300000005</v>
      </c>
      <c r="QD36" s="2"/>
      <c r="QE36" s="2">
        <f>QE10-QR10</f>
        <v>-2567516.25</v>
      </c>
      <c r="QG36" s="39">
        <v>0</v>
      </c>
      <c r="QI36" s="2">
        <f>QI10-QV10</f>
        <v>-421707.97</v>
      </c>
      <c r="QK36" s="2">
        <f>QK10-QX10</f>
        <v>1034192.1341250013</v>
      </c>
      <c r="QM36" s="2">
        <f t="shared" si="177"/>
        <v>-4284071.415874999</v>
      </c>
      <c r="QO36" s="18" t="s">
        <v>22</v>
      </c>
      <c r="QP36" s="2">
        <f>QP10-RC10</f>
        <v>-1016226.8799999994</v>
      </c>
      <c r="QQ36" s="2"/>
      <c r="QR36" s="2">
        <f>QR10-RE10</f>
        <v>-2329614.7100000009</v>
      </c>
      <c r="QT36" s="2">
        <f>QT10-RG10</f>
        <v>-995837.22999999975</v>
      </c>
      <c r="QV36" s="2">
        <f>QV10-RI10</f>
        <v>-398274.7699999999</v>
      </c>
      <c r="QX36" s="2">
        <f>QX10-RK10</f>
        <v>1013921.2360833334</v>
      </c>
      <c r="QZ36" s="2">
        <f t="shared" si="178"/>
        <v>-3726032.3539166665</v>
      </c>
      <c r="RB36" s="18" t="s">
        <v>22</v>
      </c>
      <c r="RC36" s="2">
        <f>RC10-RP10</f>
        <v>-1877204.2900000003</v>
      </c>
      <c r="RD36" s="2"/>
      <c r="RE36" s="2">
        <f>RE10-RR10</f>
        <v>-3576829.2899999991</v>
      </c>
      <c r="RG36" s="2">
        <f>RG10-RT10</f>
        <v>-906766.22</v>
      </c>
      <c r="RI36" s="2">
        <f>RI10-RV10</f>
        <v>-411014.79999999993</v>
      </c>
      <c r="RK36" s="2">
        <f>RK10-RX10</f>
        <v>2328876.4000000008</v>
      </c>
      <c r="RM36" s="2">
        <f t="shared" si="179"/>
        <v>-4442938.1999999974</v>
      </c>
      <c r="RO36" s="18" t="s">
        <v>22</v>
      </c>
      <c r="RP36" s="2">
        <f>RP10</f>
        <v>-1753390.68</v>
      </c>
      <c r="RQ36" s="2"/>
      <c r="RR36" s="2">
        <f>RR10</f>
        <v>-2101939.9000000004</v>
      </c>
      <c r="RT36" s="2">
        <f>RT10</f>
        <v>-875719.46</v>
      </c>
      <c r="RV36" s="2">
        <f>RV10</f>
        <v>-404408.77</v>
      </c>
      <c r="RX36" s="2">
        <f>RX10</f>
        <v>781529.73999999941</v>
      </c>
      <c r="RZ36" s="2">
        <f t="shared" si="180"/>
        <v>-4353929.0700000012</v>
      </c>
      <c r="SB36" s="18" t="s">
        <v>22</v>
      </c>
      <c r="SC36" s="2">
        <f>SC10-SP10</f>
        <v>-1077335.0300000003</v>
      </c>
      <c r="SD36" s="2"/>
      <c r="SE36" s="2">
        <f>SE10-SR10</f>
        <v>-4814328.5599999987</v>
      </c>
      <c r="SG36" s="2">
        <f>SG10-ST10</f>
        <v>-994531.64999999991</v>
      </c>
      <c r="SI36" s="2">
        <f>SI10-SV10</f>
        <v>-569400.02</v>
      </c>
      <c r="SK36" s="2">
        <f>SK10-SX10</f>
        <v>3606090.7499999986</v>
      </c>
      <c r="SM36" s="2">
        <f t="shared" si="181"/>
        <v>-3849504.5099999993</v>
      </c>
      <c r="SO36" s="18" t="s">
        <v>22</v>
      </c>
      <c r="SP36" s="2">
        <f>SP10-TC10</f>
        <v>-1012492.9599999997</v>
      </c>
      <c r="SQ36" s="2"/>
      <c r="SR36" s="2">
        <f>SR10-TE10</f>
        <v>-2011191.7999999989</v>
      </c>
      <c r="ST36" s="2">
        <f>ST10-TG10</f>
        <v>-888326.85000000009</v>
      </c>
      <c r="SV36" s="2">
        <f>SV10-TI10</f>
        <v>-393318.75000000012</v>
      </c>
      <c r="SX36" s="2">
        <f>SX10-TK10</f>
        <v>870751.6699999976</v>
      </c>
      <c r="SZ36" s="2">
        <f t="shared" si="182"/>
        <v>-3434578.6900000018</v>
      </c>
      <c r="TB36" s="18" t="s">
        <v>22</v>
      </c>
      <c r="TC36" s="2">
        <f>TC10-TP10</f>
        <v>-1076433.6200000001</v>
      </c>
      <c r="TD36" s="2"/>
      <c r="TE36" s="2">
        <f>TE10-TR10</f>
        <v>-2545118.7000000002</v>
      </c>
      <c r="TG36" s="2">
        <f>TG10-TT10</f>
        <v>-799051.12999999989</v>
      </c>
      <c r="TI36" s="2">
        <f>TI10-TV10</f>
        <v>-444475.06000000011</v>
      </c>
      <c r="TK36" s="2">
        <f>TK10-TX10</f>
        <v>1537963.5800000033</v>
      </c>
      <c r="TM36" s="2">
        <f t="shared" si="183"/>
        <v>-3327114.9299999974</v>
      </c>
      <c r="TO36" s="18" t="s">
        <v>22</v>
      </c>
      <c r="TP36" s="2">
        <f>TP10</f>
        <v>-840909.6</v>
      </c>
      <c r="TQ36" s="2"/>
      <c r="TR36" s="2">
        <f>TR10</f>
        <v>-1929394.9400000002</v>
      </c>
      <c r="TT36" s="2">
        <f>TT10</f>
        <v>-873556.62000000011</v>
      </c>
      <c r="TV36" s="2">
        <f>TV10</f>
        <v>-432129.94</v>
      </c>
      <c r="TX36" s="2">
        <f>TX10</f>
        <v>869263.85</v>
      </c>
      <c r="TZ36" s="2">
        <f t="shared" si="184"/>
        <v>-3206727.25</v>
      </c>
      <c r="UB36" s="18" t="s">
        <v>22</v>
      </c>
      <c r="UC36" s="2">
        <f>UC10-UP10</f>
        <v>-1881741.2699999986</v>
      </c>
      <c r="UD36" s="2"/>
      <c r="UE36" s="2">
        <f>UE10-UR10</f>
        <v>-3155770.7800000012</v>
      </c>
      <c r="UG36" s="2">
        <f>UG10-UT10</f>
        <v>-987204.51999999909</v>
      </c>
      <c r="UI36" s="2">
        <f>UI10-UV10</f>
        <v>-699400.40999999968</v>
      </c>
      <c r="UK36" s="2">
        <f>UK10-UX10</f>
        <v>2170725.2200000011</v>
      </c>
      <c r="UM36" s="2">
        <f t="shared" si="185"/>
        <v>-4553391.7599999979</v>
      </c>
      <c r="UO36" s="18" t="s">
        <v>22</v>
      </c>
      <c r="UP36" s="2">
        <f>UP10-VC10</f>
        <v>-1564196.2600000002</v>
      </c>
      <c r="UQ36" s="2"/>
      <c r="UR36" s="2">
        <f>UR10-VE10</f>
        <v>-2325623.5700000003</v>
      </c>
      <c r="UT36" s="2">
        <f>UT10-VG10</f>
        <v>-878607.30000000028</v>
      </c>
      <c r="UV36" s="2">
        <f>UV10-VI10</f>
        <v>-712010.91000000015</v>
      </c>
      <c r="UX36" s="2">
        <f>UX10-VK10</f>
        <v>1703111.8500000038</v>
      </c>
      <c r="UZ36" s="2">
        <f t="shared" si="186"/>
        <v>-3777326.1899999972</v>
      </c>
      <c r="VB36" s="18" t="s">
        <v>22</v>
      </c>
      <c r="VC36" s="2">
        <f>VC10-VP10</f>
        <v>-1578616.85</v>
      </c>
      <c r="VD36" s="2"/>
      <c r="VE36" s="2">
        <f>VE10-VR10</f>
        <v>-2406323.61</v>
      </c>
      <c r="VG36" s="2">
        <f>VG10-VT10</f>
        <v>-925189.7300000001</v>
      </c>
      <c r="VI36" s="2">
        <f>VI10-VV10</f>
        <v>-724860.29000000015</v>
      </c>
      <c r="VK36" s="2">
        <f>VK10-VX10</f>
        <v>1235791.0599999998</v>
      </c>
      <c r="VM36" s="2">
        <f t="shared" si="187"/>
        <v>-4399199.4200000009</v>
      </c>
      <c r="VO36" s="18" t="s">
        <v>22</v>
      </c>
      <c r="VP36" s="2">
        <f>VP10</f>
        <v>-1359633</v>
      </c>
      <c r="VQ36" s="2"/>
      <c r="VR36" s="2">
        <f>VR10</f>
        <v>-2431641.8199999998</v>
      </c>
      <c r="VT36" s="2">
        <f>VT10</f>
        <v>-914489.35</v>
      </c>
      <c r="VV36" s="2">
        <f>VV10</f>
        <v>-729839.58</v>
      </c>
      <c r="VX36" s="2">
        <f>VX10</f>
        <v>1162879.82</v>
      </c>
      <c r="VZ36" s="2">
        <f t="shared" si="188"/>
        <v>-4272723.93</v>
      </c>
      <c r="WB36" s="18" t="s">
        <v>22</v>
      </c>
      <c r="WC36" s="2">
        <f>WC10-WP10</f>
        <v>-1256594.6399999997</v>
      </c>
      <c r="WD36" s="2"/>
      <c r="WE36" s="2">
        <f>WE10-WR10</f>
        <v>-2325370.8457505209</v>
      </c>
      <c r="WG36" s="2">
        <f>WG10-WT10</f>
        <v>-1014594.3300000001</v>
      </c>
      <c r="WI36" s="2">
        <f>WI10-WV10</f>
        <v>-964579.69</v>
      </c>
      <c r="WK36" s="2">
        <f>WK10-WX10</f>
        <v>1228503.8999999999</v>
      </c>
      <c r="WM36" s="2">
        <f t="shared" si="189"/>
        <v>-4332635.6057505198</v>
      </c>
      <c r="WO36" s="18" t="s">
        <v>22</v>
      </c>
      <c r="WP36" s="2">
        <f>WP10-XC10</f>
        <v>-1060268.98293379</v>
      </c>
      <c r="WQ36" s="2"/>
      <c r="WR36" s="2">
        <f>WR10-XE10</f>
        <v>-2211780.4342494793</v>
      </c>
      <c r="WT36" s="2">
        <f>WT10-XG10</f>
        <v>-1154476.74</v>
      </c>
      <c r="WV36" s="2">
        <f>WV10-XI10</f>
        <v>-767979.6100000001</v>
      </c>
      <c r="WX36" s="2">
        <f>WX10-XK10</f>
        <v>1438540.1599999997</v>
      </c>
      <c r="WZ36" s="2">
        <f t="shared" si="190"/>
        <v>-3755965.6071832697</v>
      </c>
      <c r="XB36" s="18" t="s">
        <v>22</v>
      </c>
      <c r="XC36" s="2">
        <f>XC10-XP10</f>
        <v>-2360964.8470662101</v>
      </c>
      <c r="XD36" s="2"/>
      <c r="XE36" s="2">
        <f>XE10-XR10</f>
        <v>-2412691.21</v>
      </c>
      <c r="XG36" s="2">
        <f>XG10-XT10</f>
        <v>-1033568.24</v>
      </c>
      <c r="XI36" s="2">
        <f>XI10-XV10</f>
        <v>-703102.94646689715</v>
      </c>
      <c r="XK36" s="2">
        <f>XK10-XX10</f>
        <v>1377669.1700000002</v>
      </c>
      <c r="XM36" s="2">
        <f t="shared" si="191"/>
        <v>-5132658.0735331066</v>
      </c>
      <c r="XO36" s="18" t="s">
        <v>22</v>
      </c>
      <c r="XP36" s="2">
        <f>XP10</f>
        <v>-1388997.83</v>
      </c>
      <c r="XQ36" s="2"/>
      <c r="XR36" s="2">
        <f>XR10</f>
        <v>-2101518.5099999998</v>
      </c>
      <c r="XT36" s="2">
        <f>XT10</f>
        <v>-977273.02</v>
      </c>
      <c r="XV36" s="2">
        <f>XV10</f>
        <v>-649598.37353310292</v>
      </c>
      <c r="XX36" s="2">
        <f>XX10</f>
        <v>1162879.82</v>
      </c>
      <c r="XZ36" s="2">
        <f t="shared" si="192"/>
        <v>-3954507.9135331018</v>
      </c>
      <c r="YB36" s="18" t="s">
        <v>22</v>
      </c>
      <c r="YC36" s="2">
        <f>YC10-YP10</f>
        <v>-4023595.75</v>
      </c>
      <c r="YD36" s="2"/>
      <c r="YE36" s="2">
        <f>YE10-YR10</f>
        <v>-2217394.2299999995</v>
      </c>
      <c r="YG36" s="2">
        <f>YG10-YT10</f>
        <v>-1333569.1200000001</v>
      </c>
      <c r="YI36" s="2">
        <f>YI10-YV10</f>
        <v>-386945.37198619009</v>
      </c>
      <c r="YK36" s="2">
        <f>YK10-YX10</f>
        <v>887598.55000000075</v>
      </c>
      <c r="YM36" s="2">
        <f t="shared" si="193"/>
        <v>-7073905.9219861887</v>
      </c>
      <c r="YO36" s="18"/>
      <c r="YP36" s="2"/>
      <c r="YQ36" s="2"/>
    </row>
    <row r="37" spans="1:676">
      <c r="A37" s="18" t="s">
        <v>19</v>
      </c>
      <c r="B37" s="2">
        <f t="shared" si="194"/>
        <v>-103919910.19976529</v>
      </c>
      <c r="C37" s="2"/>
      <c r="D37" s="2">
        <f t="shared" si="195"/>
        <v>-2769151.8100000005</v>
      </c>
      <c r="F37" s="2">
        <f t="shared" si="196"/>
        <v>0</v>
      </c>
      <c r="H37" s="2">
        <f t="shared" si="197"/>
        <v>0</v>
      </c>
      <c r="J37" s="2">
        <f t="shared" si="198"/>
        <v>0</v>
      </c>
      <c r="L37" s="2">
        <f t="shared" si="199"/>
        <v>633497.81000000006</v>
      </c>
      <c r="N37" s="2">
        <f t="shared" si="200"/>
        <v>-106055564.19976529</v>
      </c>
      <c r="Q37" s="18" t="s">
        <v>19</v>
      </c>
      <c r="R37" s="2">
        <f t="shared" si="201"/>
        <v>-77225460.813005507</v>
      </c>
      <c r="S37" s="2"/>
      <c r="T37" s="2">
        <f t="shared" si="202"/>
        <v>-3547064.88</v>
      </c>
      <c r="V37" s="2">
        <f t="shared" si="203"/>
        <v>0</v>
      </c>
      <c r="W37" s="2"/>
      <c r="X37" s="2">
        <f t="shared" si="204"/>
        <v>0</v>
      </c>
      <c r="Z37" s="2">
        <f t="shared" si="205"/>
        <v>0</v>
      </c>
      <c r="AB37" s="2">
        <f t="shared" si="206"/>
        <v>0</v>
      </c>
      <c r="AD37" s="71">
        <f t="shared" si="207"/>
        <v>-80772525.693005502</v>
      </c>
      <c r="AG37" s="18" t="s">
        <v>19</v>
      </c>
      <c r="AH37" s="2">
        <f t="shared" si="208"/>
        <v>-63008993.867397174</v>
      </c>
      <c r="AI37" s="2"/>
      <c r="AJ37" s="2">
        <f t="shared" si="209"/>
        <v>-1881969.4200000004</v>
      </c>
      <c r="AL37" s="2">
        <f t="shared" si="210"/>
        <v>0</v>
      </c>
      <c r="AM37" s="2"/>
      <c r="AN37" s="2">
        <f t="shared" si="211"/>
        <v>0</v>
      </c>
      <c r="AP37" s="2">
        <f t="shared" si="212"/>
        <v>0</v>
      </c>
      <c r="AR37" s="2">
        <f t="shared" si="213"/>
        <v>0</v>
      </c>
      <c r="AT37" s="71">
        <f t="shared" si="214"/>
        <v>-64890963.287397176</v>
      </c>
      <c r="AW37" s="18" t="s">
        <v>19</v>
      </c>
      <c r="AX37" s="2">
        <f t="shared" ref="AX37" si="303">AX11</f>
        <v>-124361492.149832</v>
      </c>
      <c r="AY37" s="2"/>
      <c r="AZ37" s="2">
        <f t="shared" ref="AZ37" si="304">AZ11</f>
        <v>-2728198.94</v>
      </c>
      <c r="BB37" s="2">
        <f t="shared" ref="BB37" si="305">BB11</f>
        <v>0</v>
      </c>
      <c r="BC37" s="2"/>
      <c r="BD37" s="2">
        <f t="shared" ref="BD37" si="306">BD11</f>
        <v>0</v>
      </c>
      <c r="BF37" s="2">
        <f t="shared" ref="BF37" si="307">BF11</f>
        <v>0</v>
      </c>
      <c r="BH37" s="2">
        <f t="shared" ref="BH37" si="308">BH11</f>
        <v>0</v>
      </c>
      <c r="BJ37" s="2">
        <f t="shared" ref="BJ37:BJ42" si="309">SUM(AX37:BH37)</f>
        <v>-127089691.08983199</v>
      </c>
      <c r="BM37" s="18" t="s">
        <v>19</v>
      </c>
      <c r="BN37" s="2">
        <f t="shared" si="221"/>
        <v>-77279464.712965608</v>
      </c>
      <c r="BO37" s="2"/>
      <c r="BP37" s="2">
        <f t="shared" si="222"/>
        <v>-3072686.080000001</v>
      </c>
      <c r="BR37" s="2">
        <f t="shared" si="223"/>
        <v>0</v>
      </c>
      <c r="BT37" s="2">
        <f t="shared" si="224"/>
        <v>0</v>
      </c>
      <c r="BV37" s="2">
        <f t="shared" si="225"/>
        <v>0</v>
      </c>
      <c r="BX37" s="2">
        <f t="shared" si="226"/>
        <v>0</v>
      </c>
      <c r="BZ37" s="2">
        <f t="shared" ref="BZ37:BZ42" si="310">SUM(BN37:BX37)</f>
        <v>-80352150.792965606</v>
      </c>
      <c r="CC37" s="18" t="s">
        <v>19</v>
      </c>
      <c r="CD37" s="2">
        <f t="shared" si="227"/>
        <v>-67428682.117127687</v>
      </c>
      <c r="CE37" s="2"/>
      <c r="CF37" s="2">
        <f t="shared" si="228"/>
        <v>-1455743.0599999996</v>
      </c>
      <c r="CH37" s="2">
        <f t="shared" si="229"/>
        <v>0</v>
      </c>
      <c r="CI37" s="2"/>
      <c r="CJ37" s="2">
        <f t="shared" si="230"/>
        <v>0</v>
      </c>
      <c r="CL37" s="2">
        <f t="shared" si="231"/>
        <v>0</v>
      </c>
      <c r="CN37" s="2">
        <f t="shared" si="232"/>
        <v>34804.281033306128</v>
      </c>
      <c r="CP37" s="2">
        <f t="shared" ref="CP37:CP42" si="311">SUM(CD37:CN37)</f>
        <v>-68849620.896094382</v>
      </c>
      <c r="CS37" s="18" t="s">
        <v>19</v>
      </c>
      <c r="CT37" s="2">
        <f t="shared" si="233"/>
        <v>-37368311.529988378</v>
      </c>
      <c r="CU37" s="2"/>
      <c r="CV37" s="2">
        <f t="shared" si="234"/>
        <v>-3250626.1</v>
      </c>
      <c r="CX37" s="2">
        <f t="shared" si="235"/>
        <v>0</v>
      </c>
      <c r="CY37" s="2"/>
      <c r="CZ37" s="2">
        <f t="shared" si="236"/>
        <v>0</v>
      </c>
      <c r="DB37" s="2">
        <f t="shared" si="237"/>
        <v>0</v>
      </c>
      <c r="DD37" s="2">
        <f t="shared" si="238"/>
        <v>-1.0333061218261719E-3</v>
      </c>
      <c r="DF37" s="2">
        <f t="shared" ref="DF37:DF42" si="312">SUM(CT37:DD37)</f>
        <v>-40618937.631021686</v>
      </c>
      <c r="DI37" s="18" t="s">
        <v>19</v>
      </c>
      <c r="DJ37" s="2">
        <f t="shared" ref="DJ37" si="313">DJ11</f>
        <v>-194154141.48897833</v>
      </c>
      <c r="DK37" s="2"/>
      <c r="DL37" s="2">
        <f t="shared" ref="DL37" si="314">DL11</f>
        <v>-1401200.98</v>
      </c>
      <c r="DN37" s="2">
        <f t="shared" ref="DN37" si="315">DN11</f>
        <v>0</v>
      </c>
      <c r="DO37" s="2"/>
      <c r="DP37" s="2">
        <f t="shared" ref="DP37" si="316">DP11</f>
        <v>0</v>
      </c>
      <c r="DR37" s="2">
        <f t="shared" ref="DR37" si="317">DR11</f>
        <v>0</v>
      </c>
      <c r="DT37" s="2">
        <f t="shared" ref="DT37" si="318">DT11</f>
        <v>2500.02</v>
      </c>
      <c r="DV37" s="2">
        <f t="shared" ref="DV37:DV42" si="319">SUM(DJ37:DT37)</f>
        <v>-195552842.4489783</v>
      </c>
      <c r="DY37" s="18" t="s">
        <v>19</v>
      </c>
      <c r="DZ37" s="2">
        <f t="shared" ref="DZ37:EH42" si="320">DZ11-EN11</f>
        <v>-79298334.102880478</v>
      </c>
      <c r="EA37" s="2"/>
      <c r="EB37" s="2">
        <f t="shared" si="320"/>
        <v>-2193405.0299999993</v>
      </c>
      <c r="ED37" s="2">
        <f t="shared" si="320"/>
        <v>0</v>
      </c>
      <c r="EF37" s="2">
        <f t="shared" si="320"/>
        <v>0</v>
      </c>
      <c r="EH37" s="2">
        <f t="shared" si="320"/>
        <v>0</v>
      </c>
      <c r="EJ37" s="2">
        <f t="shared" ref="EJ37:EJ42" si="321">SUM(DZ37:EH37)</f>
        <v>-81491739.132880479</v>
      </c>
      <c r="EM37" s="18" t="s">
        <v>19</v>
      </c>
      <c r="EN37" s="2">
        <f t="shared" si="239"/>
        <v>-58447493.131815538</v>
      </c>
      <c r="EO37" s="2"/>
      <c r="EP37" s="2">
        <f t="shared" si="239"/>
        <v>-1122962.8799999999</v>
      </c>
      <c r="ER37" s="2">
        <f t="shared" si="239"/>
        <v>0</v>
      </c>
      <c r="ET37" s="2">
        <f t="shared" si="239"/>
        <v>0</v>
      </c>
      <c r="EV37" s="2">
        <f t="shared" si="239"/>
        <v>0</v>
      </c>
      <c r="EX37" s="2">
        <f t="shared" ref="EX37:EX42" si="322">SUM(EN37:EV37)</f>
        <v>-59570456.01181554</v>
      </c>
      <c r="FA37" s="18" t="s">
        <v>19</v>
      </c>
      <c r="FB37" s="2">
        <f t="shared" si="240"/>
        <v>-33910603.209943995</v>
      </c>
      <c r="FC37" s="2"/>
      <c r="FD37" s="2">
        <f t="shared" si="240"/>
        <v>-3055691.6300000004</v>
      </c>
      <c r="FF37" s="2">
        <f t="shared" si="240"/>
        <v>0</v>
      </c>
      <c r="FH37" s="2">
        <f t="shared" si="240"/>
        <v>0</v>
      </c>
      <c r="FJ37" s="2">
        <f t="shared" si="240"/>
        <v>22147.666639947522</v>
      </c>
      <c r="FL37" s="2">
        <f t="shared" ref="FL37:FL42" si="323">SUM(FB37:FJ37)</f>
        <v>-36944147.173304051</v>
      </c>
      <c r="FO37" s="18" t="s">
        <v>19</v>
      </c>
      <c r="FP37" s="2">
        <f t="shared" ref="FP37:FR37" si="324">FP11</f>
        <v>-97619233.465360016</v>
      </c>
      <c r="FQ37" s="2"/>
      <c r="FR37" s="2">
        <f t="shared" si="324"/>
        <v>-1730293.27</v>
      </c>
      <c r="FT37" s="2">
        <f t="shared" ref="FT37" si="325">FT11</f>
        <v>0</v>
      </c>
      <c r="FV37" s="2">
        <f t="shared" ref="FV37" si="326">FV11</f>
        <v>0</v>
      </c>
      <c r="FX37" s="2">
        <f t="shared" ref="FX37" si="327">FX11</f>
        <v>-22147.666639947522</v>
      </c>
      <c r="FZ37" s="2">
        <f t="shared" ref="FZ37:FZ42" si="328">SUM(FP37:FX37)</f>
        <v>-99371674.401999965</v>
      </c>
      <c r="GC37" s="18" t="s">
        <v>19</v>
      </c>
      <c r="GD37" s="2">
        <f t="shared" ref="GD37:GD42" si="329">GD11-GR11</f>
        <v>-32441191.641765013</v>
      </c>
      <c r="GE37" s="2"/>
      <c r="GF37" s="2">
        <f t="shared" si="245"/>
        <v>-550830.37000000011</v>
      </c>
      <c r="GH37" s="2">
        <f t="shared" si="246"/>
        <v>0</v>
      </c>
      <c r="GJ37" s="2">
        <f t="shared" si="247"/>
        <v>0</v>
      </c>
      <c r="GL37" s="2">
        <f t="shared" si="248"/>
        <v>0</v>
      </c>
      <c r="GN37" s="2">
        <f t="shared" ref="GN37:GN42" si="330">SUM(GD37:GL37)</f>
        <v>-32992022.011765014</v>
      </c>
      <c r="GQ37" s="18" t="s">
        <v>19</v>
      </c>
      <c r="GR37" s="2">
        <f t="shared" si="249"/>
        <v>-16227646.594597667</v>
      </c>
      <c r="GS37" s="2"/>
      <c r="GT37" s="2">
        <f t="shared" si="250"/>
        <v>-1543394.15</v>
      </c>
      <c r="GV37" s="2">
        <f t="shared" si="251"/>
        <v>0</v>
      </c>
      <c r="GX37" s="2">
        <f t="shared" si="252"/>
        <v>0</v>
      </c>
      <c r="GZ37" s="2">
        <f t="shared" si="253"/>
        <v>1287165</v>
      </c>
      <c r="HB37" s="2">
        <f t="shared" ref="HB37:HB42" si="331">SUM(GR37:GZ37)</f>
        <v>-16483875.744597666</v>
      </c>
      <c r="HE37" s="18" t="s">
        <v>19</v>
      </c>
      <c r="HF37" s="2">
        <f t="shared" si="254"/>
        <v>-19078364.474010002</v>
      </c>
      <c r="HG37" s="2"/>
      <c r="HH37" s="2">
        <f t="shared" si="255"/>
        <v>-2090850.36</v>
      </c>
      <c r="HJ37" s="2">
        <f t="shared" si="256"/>
        <v>0</v>
      </c>
      <c r="HL37" s="2">
        <f t="shared" si="257"/>
        <v>0</v>
      </c>
      <c r="HN37" s="2">
        <f t="shared" si="258"/>
        <v>807762.29</v>
      </c>
      <c r="HP37" s="2">
        <f t="shared" ref="HP37:HP42" si="332">SUM(HF37:HN37)</f>
        <v>-20361452.544010002</v>
      </c>
      <c r="HS37" s="18" t="s">
        <v>19</v>
      </c>
      <c r="HT37" s="2">
        <f t="shared" ref="HT37" si="333">HT11</f>
        <v>-19430468.819999997</v>
      </c>
      <c r="HU37" s="2"/>
      <c r="HV37" s="2">
        <f t="shared" ref="HV37" si="334">HV11</f>
        <v>-1420292.91</v>
      </c>
      <c r="HX37" s="2">
        <f t="shared" ref="HX37:HX38" si="335">HX11</f>
        <v>0</v>
      </c>
      <c r="HZ37" s="2">
        <f t="shared" ref="HZ37:HZ38" si="336">HZ11</f>
        <v>0</v>
      </c>
      <c r="IB37" s="2">
        <f t="shared" ref="IB37:IB38" si="337">IB11</f>
        <v>0</v>
      </c>
      <c r="ID37" s="2">
        <f t="shared" ref="ID37:ID42" si="338">SUM(HT37:IB37)</f>
        <v>-20850761.729999997</v>
      </c>
      <c r="IG37" s="18" t="s">
        <v>19</v>
      </c>
      <c r="IH37" s="2">
        <f t="shared" si="259"/>
        <v>-34275445.640000001</v>
      </c>
      <c r="II37" s="2"/>
      <c r="IJ37" s="2">
        <f t="shared" si="260"/>
        <v>-1729817.58</v>
      </c>
      <c r="IL37" s="2">
        <f t="shared" si="261"/>
        <v>0</v>
      </c>
      <c r="IN37" s="2">
        <f t="shared" si="262"/>
        <v>0</v>
      </c>
      <c r="IP37" s="2">
        <f>IP11-JD11</f>
        <v>-2.9802322387695313E-8</v>
      </c>
      <c r="IR37" s="2">
        <f t="shared" ref="IR37:IR42" si="339">SUM(IH37:IP37)</f>
        <v>-36005263.220000029</v>
      </c>
      <c r="IU37" s="18" t="s">
        <v>19</v>
      </c>
      <c r="IV37" s="2">
        <f t="shared" si="264"/>
        <v>-4618333.0399999991</v>
      </c>
      <c r="IW37" s="2"/>
      <c r="IX37" s="2">
        <f t="shared" si="264"/>
        <v>-1223100.7999999998</v>
      </c>
      <c r="IZ37" s="2">
        <f t="shared" si="264"/>
        <v>0</v>
      </c>
      <c r="JB37" s="2">
        <f t="shared" si="264"/>
        <v>0</v>
      </c>
      <c r="JD37" s="2">
        <f t="shared" si="264"/>
        <v>2.9802322387695313E-8</v>
      </c>
      <c r="JF37" s="2">
        <f t="shared" ref="JF37:JF42" si="340">SUM(IV37:JD37)</f>
        <v>-5841433.8399999691</v>
      </c>
      <c r="JI37" s="18" t="s">
        <v>19</v>
      </c>
      <c r="JJ37" s="2">
        <f t="shared" si="265"/>
        <v>-12238345.32</v>
      </c>
      <c r="JK37" s="2"/>
      <c r="JL37" s="2">
        <f t="shared" si="266"/>
        <v>-1742245.23</v>
      </c>
      <c r="JN37" s="2">
        <f t="shared" si="267"/>
        <v>0</v>
      </c>
      <c r="JP37" s="2">
        <f t="shared" si="268"/>
        <v>0</v>
      </c>
      <c r="JR37" s="2">
        <f t="shared" si="269"/>
        <v>2720.6699999999983</v>
      </c>
      <c r="JT37" s="2">
        <f t="shared" ref="JT37:JT42" si="341">SUM(JJ37:JR37)</f>
        <v>-13977869.880000001</v>
      </c>
      <c r="JW37" s="18" t="s">
        <v>19</v>
      </c>
      <c r="JX37" s="2">
        <f t="shared" ref="JX37:JZ37" si="342">JX11</f>
        <v>-18411702</v>
      </c>
      <c r="JY37" s="2"/>
      <c r="JZ37" s="2">
        <f t="shared" si="342"/>
        <v>-1014794.02</v>
      </c>
      <c r="KB37" s="2">
        <f t="shared" ref="KB37" si="343">KB11</f>
        <v>0</v>
      </c>
      <c r="KD37" s="2">
        <f t="shared" ref="KD37" si="344">KD11</f>
        <v>0</v>
      </c>
      <c r="KF37" s="2">
        <f t="shared" ref="KF37" si="345">KF11</f>
        <v>76381.56</v>
      </c>
      <c r="KH37" s="2">
        <f t="shared" ref="KH37:KH42" si="346">SUM(JX37:KF37)</f>
        <v>-19350114.460000001</v>
      </c>
      <c r="KK37" s="18" t="s">
        <v>19</v>
      </c>
      <c r="KL37" s="2">
        <f t="shared" si="270"/>
        <v>-13390176.480000004</v>
      </c>
      <c r="KM37" s="2"/>
      <c r="KN37" s="2">
        <f t="shared" si="271"/>
        <v>-1631380.5599999996</v>
      </c>
      <c r="KP37" s="2">
        <f t="shared" si="272"/>
        <v>0</v>
      </c>
      <c r="KR37" s="2">
        <f t="shared" si="273"/>
        <v>0</v>
      </c>
      <c r="KT37" s="2">
        <f t="shared" si="274"/>
        <v>0</v>
      </c>
      <c r="KV37" s="2">
        <f t="shared" ref="KV37:KV42" si="347">SUM(KL37:KT37)</f>
        <v>-15021557.040000003</v>
      </c>
      <c r="KY37" s="18" t="s">
        <v>19</v>
      </c>
      <c r="KZ37" s="2">
        <f t="shared" si="275"/>
        <v>-10694178.329999998</v>
      </c>
      <c r="LA37" s="2"/>
      <c r="LB37" s="2">
        <f t="shared" si="276"/>
        <v>-955491.46</v>
      </c>
      <c r="LD37" s="2">
        <f t="shared" si="277"/>
        <v>0</v>
      </c>
      <c r="LF37" s="2">
        <f t="shared" si="278"/>
        <v>0</v>
      </c>
      <c r="LH37" s="2">
        <f t="shared" si="279"/>
        <v>0</v>
      </c>
      <c r="LJ37" s="2">
        <f t="shared" si="280"/>
        <v>-11649669.789999999</v>
      </c>
      <c r="LM37" s="18" t="s">
        <v>19</v>
      </c>
      <c r="LN37" s="2">
        <f t="shared" ref="LN37:LN42" si="348">LN11-MA11</f>
        <v>-21166753.279999997</v>
      </c>
      <c r="LO37" s="2"/>
      <c r="LP37" s="2">
        <f t="shared" ref="LP37:LP42" si="349">LP11-MC11</f>
        <v>-2493889.7200000002</v>
      </c>
      <c r="LR37" s="2">
        <f t="shared" ref="LR37:LR42" si="350">LR11-ME11</f>
        <v>0</v>
      </c>
      <c r="LT37" s="2">
        <f t="shared" ref="LT37:LT42" si="351">LT11-MG11</f>
        <v>0</v>
      </c>
      <c r="LV37" s="2">
        <f t="shared" si="281"/>
        <v>0</v>
      </c>
      <c r="LX37" s="2">
        <f t="shared" si="282"/>
        <v>-23660642.999999996</v>
      </c>
      <c r="LZ37" s="18" t="s">
        <v>19</v>
      </c>
      <c r="MA37" s="2">
        <f t="shared" si="283"/>
        <v>-21683386.550000001</v>
      </c>
      <c r="MB37" s="2"/>
      <c r="MC37" s="2">
        <f t="shared" si="284"/>
        <v>-2361977.44</v>
      </c>
      <c r="ME37" s="2">
        <f t="shared" si="285"/>
        <v>0</v>
      </c>
      <c r="MF37" s="61"/>
      <c r="MG37" s="2">
        <f t="shared" si="286"/>
        <v>0</v>
      </c>
      <c r="MI37" s="2">
        <f t="shared" si="287"/>
        <v>0</v>
      </c>
      <c r="MK37" s="2">
        <f t="shared" ref="MK37:MK42" si="352">SUM(MA37:MI37)</f>
        <v>-24045363.990000002</v>
      </c>
      <c r="MM37" s="18" t="s">
        <v>19</v>
      </c>
      <c r="MN37" s="2">
        <f t="shared" si="288"/>
        <v>-21273066.059999995</v>
      </c>
      <c r="MO37" s="2"/>
      <c r="MP37" s="2">
        <f t="shared" si="288"/>
        <v>-1360008.0499999998</v>
      </c>
      <c r="MR37" s="2">
        <f t="shared" si="288"/>
        <v>0</v>
      </c>
      <c r="MT37" s="2">
        <f t="shared" si="288"/>
        <v>0</v>
      </c>
      <c r="MV37" s="2">
        <f t="shared" si="288"/>
        <v>-31981.330000001471</v>
      </c>
      <c r="MX37" s="2">
        <f t="shared" ref="MX37:MX42" si="353">SUM(MN37:MV37)</f>
        <v>-22665055.439999998</v>
      </c>
      <c r="NA37" s="18" t="s">
        <v>19</v>
      </c>
      <c r="NB37" s="2">
        <f t="shared" si="289"/>
        <v>-5912608.2199999988</v>
      </c>
      <c r="NC37" s="2"/>
      <c r="ND37" s="2">
        <f t="shared" si="290"/>
        <v>-1508529.0100000002</v>
      </c>
      <c r="NF37" s="2">
        <f t="shared" si="291"/>
        <v>0</v>
      </c>
      <c r="NH37" s="2">
        <f t="shared" si="292"/>
        <v>0</v>
      </c>
      <c r="NJ37" s="2">
        <f t="shared" si="293"/>
        <v>-186559.84999999852</v>
      </c>
      <c r="NL37" s="2">
        <f t="shared" si="294"/>
        <v>-7607697.0799999973</v>
      </c>
      <c r="NO37" s="18" t="s">
        <v>19</v>
      </c>
      <c r="NP37" s="2">
        <f t="shared" ref="NP37:NP42" si="354">NP11-OC11</f>
        <v>-6692456.2100000009</v>
      </c>
      <c r="NQ37" s="2"/>
      <c r="NR37" s="2">
        <f t="shared" ref="NR37:NR42" si="355">NR11-OE11</f>
        <v>-412288.26</v>
      </c>
      <c r="NT37" s="2">
        <f t="shared" ref="NT37:NT42" si="356">NT11-OG11</f>
        <v>0</v>
      </c>
      <c r="NV37" s="2">
        <f t="shared" si="295"/>
        <v>0</v>
      </c>
      <c r="NX37" s="2">
        <f t="shared" si="295"/>
        <v>-47439.8</v>
      </c>
      <c r="NZ37" s="2">
        <f t="shared" si="296"/>
        <v>-7152184.2700000005</v>
      </c>
      <c r="OB37" s="18" t="s">
        <v>19</v>
      </c>
      <c r="OC37" s="2">
        <f>OC11</f>
        <v>-45161413.170000002</v>
      </c>
      <c r="OD37" s="2"/>
      <c r="OE37" s="2">
        <f>OE11</f>
        <v>-1000707.51</v>
      </c>
      <c r="OG37" s="2">
        <f t="shared" si="297"/>
        <v>0</v>
      </c>
      <c r="OH37" s="61"/>
      <c r="OI37" s="2">
        <f t="shared" si="298"/>
        <v>0</v>
      </c>
      <c r="OK37" s="2">
        <f t="shared" si="299"/>
        <v>-59262</v>
      </c>
      <c r="OM37" s="2">
        <f t="shared" si="300"/>
        <v>-46221382.68</v>
      </c>
      <c r="OO37" s="18" t="s">
        <v>19</v>
      </c>
      <c r="OP37" s="2">
        <f>OP11-PC11</f>
        <v>-13218704.180000007</v>
      </c>
      <c r="OQ37" s="2"/>
      <c r="OR37" s="2">
        <f>OR11-PE11</f>
        <v>-1234316.3700000001</v>
      </c>
      <c r="OT37" s="53">
        <v>0</v>
      </c>
      <c r="OV37" s="2">
        <v>0</v>
      </c>
      <c r="OW37" s="2">
        <f t="shared" si="301"/>
        <v>0</v>
      </c>
      <c r="OX37" s="2">
        <v>-72203.219999991939</v>
      </c>
      <c r="OZ37" s="2">
        <f t="shared" si="175"/>
        <v>-14525223.77</v>
      </c>
      <c r="PB37" s="18" t="s">
        <v>19</v>
      </c>
      <c r="PC37" s="2">
        <f>PC11-PP11</f>
        <v>-3214904.849999994</v>
      </c>
      <c r="PD37" s="2"/>
      <c r="PE37" s="2">
        <f>PE11-PR11</f>
        <v>-735795.96</v>
      </c>
      <c r="PG37" s="39">
        <f>PG11-PT11</f>
        <v>0</v>
      </c>
      <c r="PI37" s="2">
        <f>PI11-PV11</f>
        <v>0</v>
      </c>
      <c r="PK37" s="2">
        <f>PK11-PX11</f>
        <v>-3787.6699999999983</v>
      </c>
      <c r="PM37" s="2">
        <f t="shared" si="176"/>
        <v>-3954488.4799999939</v>
      </c>
      <c r="PO37" s="18" t="s">
        <v>19</v>
      </c>
      <c r="PP37" s="2">
        <f>PP11-QC11</f>
        <v>-968879.88000000641</v>
      </c>
      <c r="PQ37" s="2"/>
      <c r="PR37" s="2">
        <f>PR11-QE11</f>
        <v>-621639.60000000009</v>
      </c>
      <c r="PT37" s="39">
        <f>PT11-QG11</f>
        <v>0</v>
      </c>
      <c r="PV37" s="2">
        <f>PV11-QI11</f>
        <v>0</v>
      </c>
      <c r="PX37" s="2">
        <f>PX11-QK11</f>
        <v>-6396.6900000000023</v>
      </c>
      <c r="PZ37" s="2">
        <f t="shared" si="302"/>
        <v>-1596916.1700000064</v>
      </c>
      <c r="QB37" s="18" t="s">
        <v>19</v>
      </c>
      <c r="QC37" s="2">
        <f>QC11-QP11-QT11</f>
        <v>-21855268.629999995</v>
      </c>
      <c r="QD37" s="2"/>
      <c r="QE37" s="2">
        <f>QE11-QR11</f>
        <v>-1062474.1499999999</v>
      </c>
      <c r="QG37" s="39">
        <v>0</v>
      </c>
      <c r="QI37" s="2">
        <f>QI11-QV11</f>
        <v>0</v>
      </c>
      <c r="QK37" s="2">
        <f>QK11-QX11</f>
        <v>33781.379999999997</v>
      </c>
      <c r="QM37" s="2">
        <f t="shared" si="177"/>
        <v>-22883961.399999995</v>
      </c>
      <c r="QO37" s="18" t="s">
        <v>19</v>
      </c>
      <c r="QP37" s="2">
        <f>QP11-RC11</f>
        <v>-4094982.2399999993</v>
      </c>
      <c r="QQ37" s="2"/>
      <c r="QR37" s="2">
        <f>QR11-RE11</f>
        <v>-996269.2100000002</v>
      </c>
      <c r="QT37" s="2">
        <f>QT11-RG11</f>
        <v>-26613.97</v>
      </c>
      <c r="QV37" s="2">
        <f>QV11-RI11</f>
        <v>0</v>
      </c>
      <c r="QX37" s="2">
        <f>QX11-RK11</f>
        <v>-6635.5300000000007</v>
      </c>
      <c r="QZ37" s="2">
        <f t="shared" si="178"/>
        <v>-5124500.9499999993</v>
      </c>
      <c r="RB37" s="18" t="s">
        <v>19</v>
      </c>
      <c r="RC37" s="2">
        <f>RC11-RP11</f>
        <v>-1764174.9400000002</v>
      </c>
      <c r="RD37" s="2"/>
      <c r="RE37" s="2">
        <f>RE11-RR11</f>
        <v>-356883.05999999994</v>
      </c>
      <c r="RG37" s="2">
        <f>RG11-RT11</f>
        <v>-29471.929999999993</v>
      </c>
      <c r="RI37" s="2">
        <f>RI11-RV11</f>
        <v>0</v>
      </c>
      <c r="RK37" s="2">
        <f>RK11-RX11</f>
        <v>-3738.9999999998199</v>
      </c>
      <c r="RM37" s="2">
        <f t="shared" si="179"/>
        <v>-2154268.9300000002</v>
      </c>
      <c r="RO37" s="18" t="s">
        <v>19</v>
      </c>
      <c r="RP37" s="2">
        <f>RP11</f>
        <v>-1212126.01</v>
      </c>
      <c r="RQ37" s="2"/>
      <c r="RR37" s="2">
        <f>RR11</f>
        <v>-167585.09999999998</v>
      </c>
      <c r="RT37" s="2">
        <f>RT11</f>
        <v>-46915.880000000005</v>
      </c>
      <c r="RV37" s="2">
        <f>RV11</f>
        <v>0</v>
      </c>
      <c r="RX37" s="2">
        <f>RX11</f>
        <v>-4223.0000000001801</v>
      </c>
      <c r="RZ37" s="2">
        <f t="shared" si="180"/>
        <v>-1430849.99</v>
      </c>
      <c r="SB37" s="18" t="s">
        <v>19</v>
      </c>
      <c r="SC37" s="2">
        <f>SC11-SP11</f>
        <v>-6972216.1499999985</v>
      </c>
      <c r="SD37" s="2"/>
      <c r="SE37" s="2">
        <f>SE11-SR11</f>
        <v>-792087.8</v>
      </c>
      <c r="SG37" s="2">
        <f>SG11-ST11</f>
        <v>-59649.989999999991</v>
      </c>
      <c r="SI37" s="2">
        <f>SI11-SV11</f>
        <v>0</v>
      </c>
      <c r="SK37" s="2">
        <f>SK11-SX11</f>
        <v>-1445.0000000006003</v>
      </c>
      <c r="SM37" s="2">
        <f t="shared" si="181"/>
        <v>-7825398.9399999995</v>
      </c>
      <c r="SO37" s="18" t="s">
        <v>19</v>
      </c>
      <c r="SP37" s="2">
        <f>SP11-TC11</f>
        <v>-7603423.5800000001</v>
      </c>
      <c r="SQ37" s="2"/>
      <c r="SR37" s="2">
        <f>SR11-TE11</f>
        <v>-445871.28</v>
      </c>
      <c r="ST37" s="2">
        <f>ST11-TG11</f>
        <v>-20234.380000000005</v>
      </c>
      <c r="SV37" s="2">
        <f>SV11-TI11</f>
        <v>0</v>
      </c>
      <c r="SX37" s="2">
        <f>SX11-TK11</f>
        <v>-3665.6799999972027</v>
      </c>
      <c r="SZ37" s="2">
        <f t="shared" si="182"/>
        <v>-8073194.9199999971</v>
      </c>
      <c r="TB37" s="18" t="s">
        <v>19</v>
      </c>
      <c r="TC37" s="2">
        <f>TC11-TP11</f>
        <v>-6301536.1100000003</v>
      </c>
      <c r="TD37" s="2"/>
      <c r="TE37" s="2">
        <f>TE11-TR11</f>
        <v>-226796.47000000003</v>
      </c>
      <c r="TG37" s="2">
        <f>TG11-TT11</f>
        <v>-130154.05</v>
      </c>
      <c r="TI37" s="2">
        <f>TI11-TV11</f>
        <v>0</v>
      </c>
      <c r="TK37" s="2">
        <f>TK11-TX11</f>
        <v>-27166.600000003298</v>
      </c>
      <c r="TM37" s="2">
        <f t="shared" si="183"/>
        <v>-6685653.2300000032</v>
      </c>
      <c r="TO37" s="18" t="s">
        <v>19</v>
      </c>
      <c r="TP37" s="2">
        <f>TP11</f>
        <v>-2383822.54</v>
      </c>
      <c r="TQ37" s="2"/>
      <c r="TR37" s="2">
        <f>TR11</f>
        <v>-33108.520000000004</v>
      </c>
      <c r="TT37" s="2">
        <f>TT11</f>
        <v>-130904.06999999999</v>
      </c>
      <c r="TV37" s="2">
        <f>TV11</f>
        <v>0</v>
      </c>
      <c r="TX37" s="2">
        <f>TX11</f>
        <v>0</v>
      </c>
      <c r="TZ37" s="2">
        <f t="shared" si="184"/>
        <v>-2547835.13</v>
      </c>
      <c r="UB37" s="18" t="s">
        <v>19</v>
      </c>
      <c r="UC37" s="2">
        <f>UC11-UP11</f>
        <v>-17162347.400000006</v>
      </c>
      <c r="UD37" s="2"/>
      <c r="UE37" s="2">
        <f>UE11-UR11</f>
        <v>-717703.7699999999</v>
      </c>
      <c r="UG37" s="2">
        <f>UG11-UT11</f>
        <v>-283993.06000000006</v>
      </c>
      <c r="UI37" s="2">
        <f>UI11-UV11</f>
        <v>-2099.9999999947704</v>
      </c>
      <c r="UK37" s="2">
        <f>UK11-UX11</f>
        <v>0</v>
      </c>
      <c r="UM37" s="2">
        <f t="shared" si="185"/>
        <v>-18166144.23</v>
      </c>
      <c r="UO37" s="18" t="s">
        <v>19</v>
      </c>
      <c r="UP37" s="2">
        <f>UP11-VC11</f>
        <v>-31925792.109999999</v>
      </c>
      <c r="UQ37" s="2"/>
      <c r="UR37" s="2">
        <f>UR11-VE11</f>
        <v>-33727.099999999977</v>
      </c>
      <c r="UT37" s="2">
        <f>UT11-VG11</f>
        <v>-522141.70999999996</v>
      </c>
      <c r="UV37" s="2">
        <f>UV11-VI11</f>
        <v>-3663.9999999970296</v>
      </c>
      <c r="UX37" s="2">
        <f>UX11-VK11</f>
        <v>0</v>
      </c>
      <c r="UZ37" s="2">
        <f t="shared" si="186"/>
        <v>-32485324.919999998</v>
      </c>
      <c r="VB37" s="18" t="s">
        <v>19</v>
      </c>
      <c r="VC37" s="2">
        <f>VC11-VP11</f>
        <v>-1667627.83</v>
      </c>
      <c r="VD37" s="2"/>
      <c r="VE37" s="2">
        <f>VE11-VR11</f>
        <v>-213249.83000000002</v>
      </c>
      <c r="VG37" s="2">
        <f>VG11-VT11</f>
        <v>-23903.73</v>
      </c>
      <c r="VI37" s="2">
        <f>VI11-VV11</f>
        <v>-8936.93</v>
      </c>
      <c r="VK37" s="2">
        <f>VK11-VX11</f>
        <v>0</v>
      </c>
      <c r="VM37" s="2">
        <f t="shared" si="187"/>
        <v>-1913718.32</v>
      </c>
      <c r="VO37" s="18" t="s">
        <v>19</v>
      </c>
      <c r="VP37" s="2">
        <f>VP11</f>
        <v>-4054386.92</v>
      </c>
      <c r="VQ37" s="2"/>
      <c r="VR37" s="2">
        <f>VR11</f>
        <v>-136336.95000000001</v>
      </c>
      <c r="VT37" s="2">
        <f>VT11</f>
        <v>0</v>
      </c>
      <c r="VV37" s="2">
        <f>VV11</f>
        <v>0</v>
      </c>
      <c r="VX37" s="2">
        <f>VX11</f>
        <v>0</v>
      </c>
      <c r="VZ37" s="2">
        <f t="shared" si="188"/>
        <v>-4190723.87</v>
      </c>
      <c r="WB37" s="18" t="s">
        <v>19</v>
      </c>
      <c r="WC37" s="2">
        <f>WC11-WP11</f>
        <v>-19219183.359999999</v>
      </c>
      <c r="WD37" s="2"/>
      <c r="WE37" s="2">
        <f>WE11-WR11</f>
        <v>-370375.41999999993</v>
      </c>
      <c r="WG37" s="2">
        <f>WG11-WT11</f>
        <v>0</v>
      </c>
      <c r="WI37" s="2">
        <f>WI11-WV11</f>
        <v>0</v>
      </c>
      <c r="WK37" s="2">
        <f>WK11-WX11</f>
        <v>-97255.479999997013</v>
      </c>
      <c r="WM37" s="2">
        <f t="shared" si="189"/>
        <v>-19686814.259999998</v>
      </c>
      <c r="WO37" s="18" t="s">
        <v>19</v>
      </c>
      <c r="WP37" s="2">
        <f>WP11-XC11</f>
        <v>-12903367.109999999</v>
      </c>
      <c r="WQ37" s="2"/>
      <c r="WR37" s="2">
        <f>WR11-XE11</f>
        <v>-356863.9600000002</v>
      </c>
      <c r="WT37" s="2">
        <f>WT11-XG11</f>
        <v>0</v>
      </c>
      <c r="WV37" s="2">
        <f>WV11-XI11</f>
        <v>0</v>
      </c>
      <c r="WX37" s="2">
        <f>WX11-XK11</f>
        <v>-250690</v>
      </c>
      <c r="WZ37" s="2">
        <f t="shared" si="190"/>
        <v>-13510921.07</v>
      </c>
      <c r="XB37" s="18" t="s">
        <v>19</v>
      </c>
      <c r="XC37" s="2">
        <f>XC11-XP11</f>
        <v>-8744467.709999999</v>
      </c>
      <c r="XD37" s="2"/>
      <c r="XE37" s="2">
        <f>XE11-XR11</f>
        <v>-662722.14999999991</v>
      </c>
      <c r="XG37" s="2">
        <f>XG11-XT11</f>
        <v>0</v>
      </c>
      <c r="XI37" s="2">
        <f>XI11-XV11</f>
        <v>0</v>
      </c>
      <c r="XK37" s="2">
        <f>XK11-XX11</f>
        <v>-416153.22</v>
      </c>
      <c r="XM37" s="2">
        <f t="shared" si="191"/>
        <v>-9823343.0800000001</v>
      </c>
      <c r="XO37" s="18" t="s">
        <v>19</v>
      </c>
      <c r="XP37" s="2">
        <f>XP11</f>
        <v>-2301398.2200000002</v>
      </c>
      <c r="XQ37" s="2"/>
      <c r="XR37" s="2">
        <f>XR11</f>
        <v>-530094.48</v>
      </c>
      <c r="XT37" s="2">
        <f>XT11</f>
        <v>0</v>
      </c>
      <c r="XV37" s="2">
        <f>XV11</f>
        <v>0</v>
      </c>
      <c r="XX37" s="2">
        <f>XX11</f>
        <v>416153.22</v>
      </c>
      <c r="XZ37" s="2">
        <f t="shared" si="192"/>
        <v>-2415339.4800000004</v>
      </c>
      <c r="YB37" s="18" t="s">
        <v>19</v>
      </c>
      <c r="YC37" s="2">
        <f>YC11-YP11</f>
        <v>-13725689.079999998</v>
      </c>
      <c r="YD37" s="2"/>
      <c r="YE37" s="2">
        <f>YE11-YR11</f>
        <v>-435012.6899999982</v>
      </c>
      <c r="YG37" s="2">
        <f>YG11-YT11</f>
        <v>0</v>
      </c>
      <c r="YI37" s="2">
        <f>YI11-YV11</f>
        <v>0</v>
      </c>
      <c r="YK37" s="2">
        <f>YK11-YX11</f>
        <v>-1237195.9699999988</v>
      </c>
      <c r="YM37" s="2">
        <f t="shared" si="193"/>
        <v>-15397897.739999995</v>
      </c>
      <c r="YO37" s="18"/>
      <c r="YP37" s="2"/>
      <c r="YQ37" s="2"/>
    </row>
    <row r="38" spans="1:676">
      <c r="A38" s="18" t="s">
        <v>23</v>
      </c>
      <c r="B38" s="2">
        <f t="shared" si="194"/>
        <v>-15058696.006513715</v>
      </c>
      <c r="C38" s="2"/>
      <c r="D38" s="2">
        <f t="shared" si="195"/>
        <v>-1205892.8199999998</v>
      </c>
      <c r="F38" s="2">
        <f t="shared" si="196"/>
        <v>0</v>
      </c>
      <c r="H38" s="2">
        <f t="shared" si="197"/>
        <v>0</v>
      </c>
      <c r="J38" s="2">
        <f t="shared" si="198"/>
        <v>-940179.61526208138</v>
      </c>
      <c r="L38" s="2">
        <f t="shared" si="199"/>
        <v>299179.65999999997</v>
      </c>
      <c r="N38" s="2">
        <f t="shared" si="200"/>
        <v>-16905588.781775795</v>
      </c>
      <c r="Q38" s="18" t="s">
        <v>23</v>
      </c>
      <c r="R38" s="2">
        <f t="shared" si="201"/>
        <v>-12563481.028004177</v>
      </c>
      <c r="S38" s="2"/>
      <c r="T38" s="2">
        <f t="shared" si="202"/>
        <v>-1238204.3199999998</v>
      </c>
      <c r="V38" s="2">
        <f t="shared" si="203"/>
        <v>0</v>
      </c>
      <c r="W38" s="2"/>
      <c r="X38" s="2">
        <f t="shared" si="204"/>
        <v>0</v>
      </c>
      <c r="Z38" s="2">
        <f t="shared" si="205"/>
        <v>-947335.62625641655</v>
      </c>
      <c r="AB38" s="2">
        <f t="shared" si="206"/>
        <v>-380121.44423333334</v>
      </c>
      <c r="AD38" s="71">
        <f t="shared" si="207"/>
        <v>-15129142.418493928</v>
      </c>
      <c r="AG38" s="18" t="s">
        <v>23</v>
      </c>
      <c r="AH38" s="2">
        <f t="shared" si="208"/>
        <v>-11489202.205013979</v>
      </c>
      <c r="AI38" s="2"/>
      <c r="AJ38" s="2">
        <f t="shared" si="209"/>
        <v>-1423085.2400000002</v>
      </c>
      <c r="AL38" s="2">
        <f t="shared" si="210"/>
        <v>0</v>
      </c>
      <c r="AM38" s="2"/>
      <c r="AN38" s="2">
        <f t="shared" si="211"/>
        <v>0</v>
      </c>
      <c r="AP38" s="2">
        <f t="shared" si="212"/>
        <v>-1059120.3418460728</v>
      </c>
      <c r="AR38" s="2">
        <f t="shared" si="213"/>
        <v>197305.86347333333</v>
      </c>
      <c r="AT38" s="71">
        <f t="shared" si="214"/>
        <v>-13774101.923386719</v>
      </c>
      <c r="AW38" s="18" t="s">
        <v>23</v>
      </c>
      <c r="AX38" s="2">
        <f t="shared" ref="AX38" si="357">AX12</f>
        <v>-9862392.8804681264</v>
      </c>
      <c r="AY38" s="2"/>
      <c r="AZ38" s="2">
        <f t="shared" ref="AZ38" si="358">AZ12</f>
        <v>-1143879.8399999999</v>
      </c>
      <c r="BB38" s="2">
        <f t="shared" ref="BB38" si="359">BB12</f>
        <v>0</v>
      </c>
      <c r="BC38" s="2"/>
      <c r="BD38" s="2">
        <f t="shared" ref="BD38" si="360">BD12</f>
        <v>0</v>
      </c>
      <c r="BF38" s="2">
        <f t="shared" ref="BF38" si="361">BF12</f>
        <v>-1081299.7666354293</v>
      </c>
      <c r="BH38" s="2">
        <f t="shared" ref="BH38" si="362">BH12</f>
        <v>182815.58076000001</v>
      </c>
      <c r="BJ38" s="2">
        <f t="shared" si="309"/>
        <v>-11904756.906343555</v>
      </c>
      <c r="BM38" s="18" t="s">
        <v>23</v>
      </c>
      <c r="BN38" s="2">
        <f t="shared" si="221"/>
        <v>-9723929.7358319946</v>
      </c>
      <c r="BO38" s="2"/>
      <c r="BP38" s="2">
        <f t="shared" si="222"/>
        <v>-1086219.1800000002</v>
      </c>
      <c r="BR38" s="2">
        <f t="shared" si="223"/>
        <v>0</v>
      </c>
      <c r="BT38" s="2">
        <f t="shared" si="224"/>
        <v>0</v>
      </c>
      <c r="BV38" s="2">
        <f t="shared" si="225"/>
        <v>-1076652.6490605175</v>
      </c>
      <c r="BX38" s="2">
        <f t="shared" si="226"/>
        <v>65026.125803888892</v>
      </c>
      <c r="BZ38" s="2">
        <f t="shared" si="310"/>
        <v>-11821775.439088622</v>
      </c>
      <c r="CC38" s="18" t="s">
        <v>23</v>
      </c>
      <c r="CD38" s="2">
        <f t="shared" si="227"/>
        <v>-8623394.410134729</v>
      </c>
      <c r="CE38" s="2"/>
      <c r="CF38" s="2">
        <f t="shared" si="228"/>
        <v>-1211970.8399999999</v>
      </c>
      <c r="CH38" s="2">
        <f t="shared" si="229"/>
        <v>0</v>
      </c>
      <c r="CI38" s="2"/>
      <c r="CJ38" s="2">
        <f t="shared" si="230"/>
        <v>0</v>
      </c>
      <c r="CL38" s="2">
        <f t="shared" si="231"/>
        <v>-1091227.6996363807</v>
      </c>
      <c r="CN38" s="2">
        <f t="shared" si="232"/>
        <v>9586.8881631986005</v>
      </c>
      <c r="CP38" s="2">
        <f t="shared" si="311"/>
        <v>-10917006.061607912</v>
      </c>
      <c r="CS38" s="18" t="s">
        <v>23</v>
      </c>
      <c r="CT38" s="2">
        <f t="shared" si="233"/>
        <v>-7595459.7608400621</v>
      </c>
      <c r="CU38" s="2"/>
      <c r="CV38" s="2">
        <f t="shared" si="234"/>
        <v>-951843.38000000012</v>
      </c>
      <c r="CX38" s="2">
        <f t="shared" si="235"/>
        <v>0</v>
      </c>
      <c r="CY38" s="2"/>
      <c r="CZ38" s="2">
        <f t="shared" si="236"/>
        <v>0</v>
      </c>
      <c r="DB38" s="2">
        <f t="shared" si="237"/>
        <v>-1089537.8387000482</v>
      </c>
      <c r="DD38" s="2">
        <f t="shared" si="238"/>
        <v>6335.1679395791725</v>
      </c>
      <c r="DF38" s="2">
        <f t="shared" si="312"/>
        <v>-9630505.8116005324</v>
      </c>
      <c r="DI38" s="18" t="s">
        <v>23</v>
      </c>
      <c r="DJ38" s="2">
        <f t="shared" ref="DJ38" si="363">DJ12</f>
        <v>-8907803.8836740814</v>
      </c>
      <c r="DK38" s="2"/>
      <c r="DL38" s="2">
        <f t="shared" ref="DL38" si="364">DL12</f>
        <v>-870277.95</v>
      </c>
      <c r="DN38" s="2">
        <f t="shared" ref="DN38" si="365">DN12</f>
        <v>0</v>
      </c>
      <c r="DO38" s="2"/>
      <c r="DP38" s="2">
        <f t="shared" ref="DP38" si="366">DP12</f>
        <v>0</v>
      </c>
      <c r="DR38" s="2">
        <f t="shared" ref="DR38" si="367">DR12</f>
        <v>-1131995.594725389</v>
      </c>
      <c r="DT38" s="2">
        <f t="shared" ref="DT38" si="368">DT12</f>
        <v>228504.14</v>
      </c>
      <c r="DV38" s="2">
        <f t="shared" si="319"/>
        <v>-10681573.288399469</v>
      </c>
      <c r="DY38" s="18" t="s">
        <v>23</v>
      </c>
      <c r="DZ38" s="2">
        <f t="shared" si="320"/>
        <v>-7839967.0133001059</v>
      </c>
      <c r="EA38" s="2"/>
      <c r="EB38" s="2">
        <f t="shared" si="320"/>
        <v>-952802.40000000037</v>
      </c>
      <c r="ED38" s="2">
        <f t="shared" si="320"/>
        <v>0</v>
      </c>
      <c r="EF38" s="2">
        <f t="shared" si="320"/>
        <v>-1183113.888049433</v>
      </c>
      <c r="EH38" s="2">
        <f t="shared" si="320"/>
        <v>375643.86169809522</v>
      </c>
      <c r="EJ38" s="2">
        <f t="shared" si="321"/>
        <v>-9600239.4396514446</v>
      </c>
      <c r="EM38" s="18" t="s">
        <v>23</v>
      </c>
      <c r="EN38" s="2">
        <f t="shared" si="239"/>
        <v>-6945981.1981720757</v>
      </c>
      <c r="EO38" s="2"/>
      <c r="EP38" s="2">
        <f t="shared" si="239"/>
        <v>-951133.19999999949</v>
      </c>
      <c r="ER38" s="2">
        <f t="shared" si="239"/>
        <v>0</v>
      </c>
      <c r="ET38" s="2">
        <f t="shared" si="239"/>
        <v>-1212897.6870522834</v>
      </c>
      <c r="EV38" s="2">
        <f t="shared" si="239"/>
        <v>798009.74950711103</v>
      </c>
      <c r="EX38" s="2">
        <f t="shared" si="322"/>
        <v>-8312002.3357172478</v>
      </c>
      <c r="FA38" s="18" t="s">
        <v>23</v>
      </c>
      <c r="FB38" s="2">
        <f t="shared" si="240"/>
        <v>-5822067.1228923015</v>
      </c>
      <c r="FC38" s="2"/>
      <c r="FD38" s="2">
        <f t="shared" si="240"/>
        <v>-895145.02</v>
      </c>
      <c r="FF38" s="2">
        <f t="shared" si="240"/>
        <v>0</v>
      </c>
      <c r="FH38" s="2">
        <f t="shared" si="240"/>
        <v>-1259157.630184371</v>
      </c>
      <c r="FJ38" s="2">
        <f t="shared" si="240"/>
        <v>-5075.5215546347645</v>
      </c>
      <c r="FL38" s="2">
        <f t="shared" si="323"/>
        <v>-7981445.294631307</v>
      </c>
      <c r="FO38" s="18" t="s">
        <v>23</v>
      </c>
      <c r="FP38" s="2">
        <f t="shared" ref="FP38:FR38" si="369">FP12</f>
        <v>-4874479.5850547757</v>
      </c>
      <c r="FQ38" s="2"/>
      <c r="FR38" s="2">
        <f t="shared" si="369"/>
        <v>-847848.3</v>
      </c>
      <c r="FT38" s="2">
        <f t="shared" ref="FT38" si="370">FT12</f>
        <v>0</v>
      </c>
      <c r="FV38" s="2">
        <f t="shared" ref="FV38" si="371">FV12</f>
        <v>-1220924.52649986</v>
      </c>
      <c r="FX38" s="2">
        <f t="shared" ref="FX38" si="372">FX12</f>
        <v>5075.5215546347645</v>
      </c>
      <c r="FZ38" s="2">
        <f t="shared" si="328"/>
        <v>-6938176.8900000006</v>
      </c>
      <c r="GC38" s="18" t="s">
        <v>23</v>
      </c>
      <c r="GD38" s="2">
        <f t="shared" si="329"/>
        <v>-4046663.2028523646</v>
      </c>
      <c r="GE38" s="2"/>
      <c r="GF38" s="2">
        <f t="shared" si="245"/>
        <v>-778121.37999999989</v>
      </c>
      <c r="GH38" s="2">
        <f t="shared" si="246"/>
        <v>0</v>
      </c>
      <c r="GJ38" s="2">
        <f t="shared" si="247"/>
        <v>-1232542.3204371422</v>
      </c>
      <c r="GL38" s="2">
        <f t="shared" si="248"/>
        <v>-268728.78144199587</v>
      </c>
      <c r="GN38" s="2">
        <f t="shared" si="330"/>
        <v>-6326055.6847315021</v>
      </c>
      <c r="GQ38" s="18" t="s">
        <v>23</v>
      </c>
      <c r="GR38" s="2">
        <f t="shared" si="249"/>
        <v>-3901226.0931369998</v>
      </c>
      <c r="GS38" s="2"/>
      <c r="GT38" s="2">
        <f t="shared" si="250"/>
        <v>-692714.5</v>
      </c>
      <c r="GV38" s="2">
        <f t="shared" si="251"/>
        <v>0</v>
      </c>
      <c r="GX38" s="2">
        <f t="shared" si="252"/>
        <v>-1191563.1927310918</v>
      </c>
      <c r="GZ38" s="2">
        <f t="shared" si="253"/>
        <v>268728.78204000928</v>
      </c>
      <c r="HB38" s="2">
        <f t="shared" si="331"/>
        <v>-5516775.0038280822</v>
      </c>
      <c r="HE38" s="18" t="s">
        <v>23</v>
      </c>
      <c r="HF38" s="2">
        <f t="shared" si="254"/>
        <v>-3027526.8097604997</v>
      </c>
      <c r="HG38" s="2"/>
      <c r="HH38" s="2">
        <f t="shared" si="255"/>
        <v>-681588.90999999992</v>
      </c>
      <c r="HJ38" s="2">
        <f t="shared" si="256"/>
        <v>0</v>
      </c>
      <c r="HL38" s="2">
        <f t="shared" si="257"/>
        <v>-816276.7948929877</v>
      </c>
      <c r="HN38" s="2">
        <f t="shared" si="258"/>
        <v>48795.759402000003</v>
      </c>
      <c r="HP38" s="2">
        <f t="shared" si="332"/>
        <v>-4476596.7552514868</v>
      </c>
      <c r="HS38" s="18" t="s">
        <v>23</v>
      </c>
      <c r="HT38" s="2">
        <f t="shared" ref="HT38" si="373">HT12</f>
        <v>-1860071.24</v>
      </c>
      <c r="HU38" s="2"/>
      <c r="HV38" s="2">
        <f t="shared" ref="HV38" si="374">HV12</f>
        <v>-568814.59000000008</v>
      </c>
      <c r="HX38" s="2">
        <f t="shared" si="335"/>
        <v>0</v>
      </c>
      <c r="HZ38" s="2">
        <f t="shared" si="336"/>
        <v>0</v>
      </c>
      <c r="IB38" s="2">
        <f t="shared" si="337"/>
        <v>0</v>
      </c>
      <c r="ID38" s="2">
        <f t="shared" si="338"/>
        <v>-2428885.83</v>
      </c>
      <c r="IG38" s="18" t="s">
        <v>23</v>
      </c>
      <c r="IH38" s="2">
        <f t="shared" si="259"/>
        <v>-1666098.6600000001</v>
      </c>
      <c r="II38" s="2"/>
      <c r="IJ38" s="2">
        <f t="shared" si="260"/>
        <v>-525959.29999999981</v>
      </c>
      <c r="IL38" s="2">
        <f t="shared" si="261"/>
        <v>0</v>
      </c>
      <c r="IN38" s="2">
        <f t="shared" si="262"/>
        <v>0</v>
      </c>
      <c r="IP38" s="2">
        <f t="shared" si="263"/>
        <v>1.4901161193847699E-8</v>
      </c>
      <c r="IR38" s="2">
        <f t="shared" si="339"/>
        <v>-2192057.9599999851</v>
      </c>
      <c r="IU38" s="18" t="s">
        <v>23</v>
      </c>
      <c r="IV38" s="2">
        <f t="shared" si="264"/>
        <v>-1177757.2599999998</v>
      </c>
      <c r="IW38" s="2"/>
      <c r="IX38" s="2">
        <f t="shared" si="264"/>
        <v>-750972.03000000026</v>
      </c>
      <c r="IZ38" s="2">
        <f t="shared" si="264"/>
        <v>0</v>
      </c>
      <c r="JB38" s="2">
        <f t="shared" si="264"/>
        <v>0</v>
      </c>
      <c r="JD38" s="2">
        <f t="shared" si="264"/>
        <v>0</v>
      </c>
      <c r="JF38" s="2">
        <f t="shared" si="340"/>
        <v>-1928729.29</v>
      </c>
      <c r="JI38" s="18" t="s">
        <v>23</v>
      </c>
      <c r="JJ38" s="2">
        <f t="shared" si="265"/>
        <v>-1156747.6300000004</v>
      </c>
      <c r="JK38" s="2"/>
      <c r="JL38" s="2">
        <f t="shared" si="266"/>
        <v>-679693.48999999987</v>
      </c>
      <c r="JN38" s="2">
        <f t="shared" si="267"/>
        <v>0</v>
      </c>
      <c r="JP38" s="2">
        <f t="shared" si="268"/>
        <v>0</v>
      </c>
      <c r="JR38" s="2">
        <f t="shared" si="269"/>
        <v>0</v>
      </c>
      <c r="JT38" s="2">
        <f t="shared" si="341"/>
        <v>-1836441.12</v>
      </c>
      <c r="JW38" s="18" t="s">
        <v>23</v>
      </c>
      <c r="JX38" s="2">
        <f t="shared" ref="JX38:JZ38" si="375">JX12</f>
        <v>-1098316.8999999999</v>
      </c>
      <c r="JY38" s="2"/>
      <c r="JZ38" s="2">
        <f t="shared" si="375"/>
        <v>-573028.39</v>
      </c>
      <c r="KB38" s="2">
        <f t="shared" ref="KB38" si="376">KB12</f>
        <v>0</v>
      </c>
      <c r="KD38" s="2">
        <f t="shared" ref="KD38" si="377">KD12</f>
        <v>0</v>
      </c>
      <c r="KF38" s="2">
        <f t="shared" ref="KF38" si="378">KF12</f>
        <v>0</v>
      </c>
      <c r="KH38" s="2">
        <f t="shared" si="346"/>
        <v>-1671345.29</v>
      </c>
      <c r="KK38" s="18" t="s">
        <v>23</v>
      </c>
      <c r="KL38" s="2">
        <f t="shared" si="270"/>
        <v>-1094631.77</v>
      </c>
      <c r="KM38" s="2"/>
      <c r="KN38" s="2">
        <f t="shared" si="271"/>
        <v>-466595.4700000002</v>
      </c>
      <c r="KP38" s="2">
        <f t="shared" si="272"/>
        <v>0</v>
      </c>
      <c r="KR38" s="2">
        <f t="shared" si="273"/>
        <v>0</v>
      </c>
      <c r="KT38" s="2">
        <f t="shared" si="274"/>
        <v>0</v>
      </c>
      <c r="KV38" s="2">
        <f t="shared" si="347"/>
        <v>-1561227.2400000002</v>
      </c>
      <c r="KY38" s="18" t="s">
        <v>23</v>
      </c>
      <c r="KZ38" s="2">
        <f t="shared" si="275"/>
        <v>-956161.06999999983</v>
      </c>
      <c r="LA38" s="2"/>
      <c r="LB38" s="2">
        <f t="shared" si="276"/>
        <v>-626966.76999999979</v>
      </c>
      <c r="LD38" s="2">
        <f t="shared" si="277"/>
        <v>0</v>
      </c>
      <c r="LF38" s="2">
        <f t="shared" si="278"/>
        <v>0</v>
      </c>
      <c r="LH38" s="2">
        <f t="shared" si="279"/>
        <v>0</v>
      </c>
      <c r="LJ38" s="2">
        <f t="shared" si="280"/>
        <v>-1583127.8399999996</v>
      </c>
      <c r="LM38" s="18" t="s">
        <v>23</v>
      </c>
      <c r="LN38" s="2">
        <f t="shared" si="348"/>
        <v>-1361143.8400000003</v>
      </c>
      <c r="LO38" s="2"/>
      <c r="LP38" s="2">
        <f t="shared" si="349"/>
        <v>-777226.6</v>
      </c>
      <c r="LR38" s="2">
        <f t="shared" si="350"/>
        <v>0</v>
      </c>
      <c r="LT38" s="2">
        <f t="shared" si="351"/>
        <v>0</v>
      </c>
      <c r="LV38" s="2">
        <f t="shared" si="281"/>
        <v>0</v>
      </c>
      <c r="LX38" s="2">
        <f t="shared" si="282"/>
        <v>-2138370.4400000004</v>
      </c>
      <c r="LZ38" s="18" t="s">
        <v>23</v>
      </c>
      <c r="MA38" s="2">
        <f t="shared" si="283"/>
        <v>-1156205.8999999999</v>
      </c>
      <c r="MB38" s="2"/>
      <c r="MC38" s="2">
        <f t="shared" si="284"/>
        <v>-978716.62</v>
      </c>
      <c r="ME38" s="2">
        <f t="shared" si="285"/>
        <v>0</v>
      </c>
      <c r="MF38" s="61"/>
      <c r="MG38" s="2">
        <f t="shared" si="286"/>
        <v>0</v>
      </c>
      <c r="MI38" s="2">
        <f t="shared" si="287"/>
        <v>0</v>
      </c>
      <c r="MK38" s="2">
        <f t="shared" si="352"/>
        <v>-2134922.52</v>
      </c>
      <c r="MM38" s="18" t="s">
        <v>23</v>
      </c>
      <c r="MN38" s="2">
        <f t="shared" si="288"/>
        <v>-1327576.5199999996</v>
      </c>
      <c r="MO38" s="2"/>
      <c r="MP38" s="2">
        <f t="shared" si="288"/>
        <v>-671723.69</v>
      </c>
      <c r="MR38" s="2">
        <f t="shared" si="288"/>
        <v>0</v>
      </c>
      <c r="MT38" s="2">
        <f t="shared" si="288"/>
        <v>0</v>
      </c>
      <c r="MV38" s="2">
        <f t="shared" si="288"/>
        <v>0</v>
      </c>
      <c r="MX38" s="2">
        <f t="shared" si="353"/>
        <v>-1999300.2099999995</v>
      </c>
      <c r="NA38" s="18" t="s">
        <v>23</v>
      </c>
      <c r="NB38" s="2">
        <f t="shared" si="289"/>
        <v>-1018639.9700000002</v>
      </c>
      <c r="NC38" s="2"/>
      <c r="ND38" s="2">
        <f t="shared" si="290"/>
        <v>-813489.94</v>
      </c>
      <c r="NF38" s="2">
        <f t="shared" si="291"/>
        <v>0</v>
      </c>
      <c r="NH38" s="2">
        <f t="shared" si="292"/>
        <v>0</v>
      </c>
      <c r="NJ38" s="2">
        <f t="shared" si="293"/>
        <v>0</v>
      </c>
      <c r="NL38" s="2">
        <f t="shared" si="294"/>
        <v>-1832129.9100000001</v>
      </c>
      <c r="NO38" s="18" t="s">
        <v>23</v>
      </c>
      <c r="NP38" s="2">
        <f t="shared" si="354"/>
        <v>-1085612.42</v>
      </c>
      <c r="NQ38" s="2"/>
      <c r="NR38" s="2">
        <f t="shared" si="355"/>
        <v>-775828.66999999993</v>
      </c>
      <c r="NT38" s="2">
        <f t="shared" si="356"/>
        <v>0</v>
      </c>
      <c r="NV38" s="2">
        <f t="shared" si="295"/>
        <v>0</v>
      </c>
      <c r="NX38" s="2">
        <f t="shared" si="295"/>
        <v>0</v>
      </c>
      <c r="NZ38" s="2">
        <f t="shared" si="296"/>
        <v>-1861441.0899999999</v>
      </c>
      <c r="OB38" s="18" t="s">
        <v>23</v>
      </c>
      <c r="OC38" s="2">
        <f>OC12</f>
        <v>-873079.14000000013</v>
      </c>
      <c r="OD38" s="2"/>
      <c r="OE38" s="2">
        <f>OE12</f>
        <v>-836035.52</v>
      </c>
      <c r="OG38" s="2">
        <f t="shared" si="297"/>
        <v>0</v>
      </c>
      <c r="OH38" s="61"/>
      <c r="OI38" s="2">
        <f t="shared" si="298"/>
        <v>0</v>
      </c>
      <c r="OK38" s="2">
        <f t="shared" si="299"/>
        <v>0</v>
      </c>
      <c r="OM38" s="2">
        <f t="shared" si="300"/>
        <v>-1709114.6600000001</v>
      </c>
      <c r="OO38" s="18" t="s">
        <v>23</v>
      </c>
      <c r="OP38" s="2">
        <f>OP12-PC12</f>
        <v>-880418.71</v>
      </c>
      <c r="OQ38" s="2"/>
      <c r="OR38" s="2">
        <f>OR12-PE12</f>
        <v>-529978.99000000022</v>
      </c>
      <c r="OT38" s="53">
        <v>0</v>
      </c>
      <c r="OV38" s="2">
        <v>0</v>
      </c>
      <c r="OW38" s="2">
        <f t="shared" si="301"/>
        <v>0</v>
      </c>
      <c r="OX38" s="2">
        <v>0</v>
      </c>
      <c r="OZ38" s="2">
        <f t="shared" si="175"/>
        <v>-1410397.7000000002</v>
      </c>
      <c r="PB38" s="18" t="s">
        <v>23</v>
      </c>
      <c r="PC38" s="2">
        <f>PC12-PP12</f>
        <v>-705309.08999999985</v>
      </c>
      <c r="PD38" s="2"/>
      <c r="PE38" s="2">
        <f>PE12-PR12</f>
        <v>-746155.13999999966</v>
      </c>
      <c r="PG38" s="39">
        <f>PG12-PT12</f>
        <v>0</v>
      </c>
      <c r="PI38" s="2">
        <f>PI12-PV12</f>
        <v>0</v>
      </c>
      <c r="PK38" s="2">
        <f>PK12-PX12</f>
        <v>0</v>
      </c>
      <c r="PM38" s="2">
        <f t="shared" si="176"/>
        <v>-1451464.2299999995</v>
      </c>
      <c r="PO38" s="51" t="s">
        <v>23</v>
      </c>
      <c r="PP38" s="2">
        <f>PP12-QC12</f>
        <v>-672915.23000000045</v>
      </c>
      <c r="PQ38" s="2"/>
      <c r="PR38" s="2">
        <f>PR12-QE12</f>
        <v>-531612.70000000019</v>
      </c>
      <c r="PT38" s="39">
        <f>PT12-QG12</f>
        <v>0</v>
      </c>
      <c r="PV38" s="2">
        <f>PV12-QI12</f>
        <v>0</v>
      </c>
      <c r="PX38" s="2">
        <f>PX12-QK12</f>
        <v>0</v>
      </c>
      <c r="PZ38" s="2">
        <f t="shared" si="302"/>
        <v>-1204527.9300000006</v>
      </c>
      <c r="QB38" s="18" t="s">
        <v>23</v>
      </c>
      <c r="QC38" s="2">
        <f>QC12-QP12-QT12</f>
        <v>-660483.72</v>
      </c>
      <c r="QD38" s="2"/>
      <c r="QE38" s="2">
        <f>QE12-QR12</f>
        <v>-582992.32999999984</v>
      </c>
      <c r="QG38" s="39">
        <v>0</v>
      </c>
      <c r="QI38" s="2">
        <f>QI12-QV12</f>
        <v>0</v>
      </c>
      <c r="QK38" s="2">
        <f>QK12-QX12</f>
        <v>0</v>
      </c>
      <c r="QM38" s="2">
        <f t="shared" si="177"/>
        <v>-1243476.0499999998</v>
      </c>
      <c r="QO38" s="18" t="s">
        <v>23</v>
      </c>
      <c r="QP38" s="2">
        <f>QP12-RC12</f>
        <v>-478062.69000000006</v>
      </c>
      <c r="QQ38" s="2"/>
      <c r="QR38" s="2">
        <f>QR12-RE12</f>
        <v>-455320.9</v>
      </c>
      <c r="QT38" s="2">
        <f>QT12-RG12</f>
        <v>0</v>
      </c>
      <c r="QV38" s="2">
        <f>QV12-RI12</f>
        <v>0</v>
      </c>
      <c r="QX38" s="2">
        <f>QX12-RK12</f>
        <v>0</v>
      </c>
      <c r="QZ38" s="2">
        <f t="shared" si="178"/>
        <v>-933383.59000000008</v>
      </c>
      <c r="RB38" s="18" t="s">
        <v>23</v>
      </c>
      <c r="RC38" s="2">
        <f>RC12-RP12</f>
        <v>-560157.3899999999</v>
      </c>
      <c r="RD38" s="2"/>
      <c r="RE38" s="2">
        <f>RE12-RR12</f>
        <v>-625908.66</v>
      </c>
      <c r="RG38" s="2">
        <f>RG12-RT12</f>
        <v>0</v>
      </c>
      <c r="RI38" s="2">
        <f>RI12-RV12</f>
        <v>0</v>
      </c>
      <c r="RK38" s="2">
        <f>RK12-RX12</f>
        <v>5590.00000000003</v>
      </c>
      <c r="RM38" s="2">
        <f t="shared" si="179"/>
        <v>-1180476.0499999998</v>
      </c>
      <c r="RO38" s="18" t="s">
        <v>23</v>
      </c>
      <c r="RP38" s="2">
        <f>RP12</f>
        <v>-470662.37</v>
      </c>
      <c r="RQ38" s="2"/>
      <c r="RR38" s="2">
        <f>RR12</f>
        <v>-295394.24</v>
      </c>
      <c r="RT38" s="2">
        <f>RT12</f>
        <v>0</v>
      </c>
      <c r="RV38" s="2">
        <f>RV12</f>
        <v>0</v>
      </c>
      <c r="RX38" s="2">
        <f>RX12</f>
        <v>-5590.00000000003</v>
      </c>
      <c r="RZ38" s="2">
        <f t="shared" si="180"/>
        <v>-771646.61</v>
      </c>
      <c r="SB38" s="18" t="s">
        <v>23</v>
      </c>
      <c r="SC38" s="2">
        <f>SC12-SP12</f>
        <v>-521829.98000000021</v>
      </c>
      <c r="SD38" s="2"/>
      <c r="SE38" s="2">
        <f>SE12-SR12</f>
        <v>-437892.42000000016</v>
      </c>
      <c r="SG38" s="2">
        <f>SG12-ST12</f>
        <v>0</v>
      </c>
      <c r="SI38" s="2">
        <f>SI12-SV12</f>
        <v>0</v>
      </c>
      <c r="SK38" s="2">
        <f>SK12-SX12</f>
        <v>0</v>
      </c>
      <c r="SM38" s="2">
        <f t="shared" si="181"/>
        <v>-959722.40000000037</v>
      </c>
      <c r="SO38" s="18" t="s">
        <v>23</v>
      </c>
      <c r="SP38" s="2">
        <f>SP12-TC12</f>
        <v>-720234.94999999972</v>
      </c>
      <c r="SQ38" s="2"/>
      <c r="SR38" s="2">
        <f>SR12-TE12</f>
        <v>-381467.85999999987</v>
      </c>
      <c r="ST38" s="2">
        <f>ST12-TG12</f>
        <v>0</v>
      </c>
      <c r="SV38" s="2">
        <f>SV12-TI12</f>
        <v>0</v>
      </c>
      <c r="SX38" s="2">
        <f>SX12-TK12</f>
        <v>0</v>
      </c>
      <c r="SZ38" s="2">
        <f t="shared" si="182"/>
        <v>-1101702.8099999996</v>
      </c>
      <c r="TB38" s="18" t="s">
        <v>23</v>
      </c>
      <c r="TC38" s="2">
        <f>TC12-TP12</f>
        <v>-633429.62</v>
      </c>
      <c r="TD38" s="2"/>
      <c r="TE38" s="2">
        <f>TE12-TR12</f>
        <v>-374318.19000000006</v>
      </c>
      <c r="TG38" s="2">
        <f>TG12-TT12</f>
        <v>0</v>
      </c>
      <c r="TI38" s="2">
        <f>TI12-TV12</f>
        <v>0</v>
      </c>
      <c r="TK38" s="2">
        <f>TK12-TX12</f>
        <v>0</v>
      </c>
      <c r="TM38" s="2">
        <f t="shared" si="183"/>
        <v>-1007747.81</v>
      </c>
      <c r="TO38" s="18" t="s">
        <v>23</v>
      </c>
      <c r="TP38" s="2">
        <f>TP12</f>
        <v>-608373.22000000009</v>
      </c>
      <c r="TQ38" s="2"/>
      <c r="TR38" s="2">
        <f>TR12</f>
        <v>-369172.89</v>
      </c>
      <c r="TT38" s="2">
        <f>TT12</f>
        <v>0</v>
      </c>
      <c r="TV38" s="2">
        <f>TV12</f>
        <v>0</v>
      </c>
      <c r="TX38" s="2">
        <f>TX12</f>
        <v>0</v>
      </c>
      <c r="TZ38" s="2">
        <f t="shared" si="184"/>
        <v>-977546.1100000001</v>
      </c>
      <c r="UB38" s="18" t="s">
        <v>23</v>
      </c>
      <c r="UC38" s="2">
        <f>UC12-UP12</f>
        <v>-798526.42000000039</v>
      </c>
      <c r="UD38" s="2"/>
      <c r="UE38" s="2">
        <f>UE12-UR12</f>
        <v>-266415.75</v>
      </c>
      <c r="UG38" s="2">
        <f>UG12-UT12</f>
        <v>0</v>
      </c>
      <c r="UI38" s="2">
        <f>UI12-UV12</f>
        <v>0</v>
      </c>
      <c r="UK38" s="2">
        <f>UK12-UX12</f>
        <v>0</v>
      </c>
      <c r="UM38" s="2">
        <f t="shared" si="185"/>
        <v>-1064942.1700000004</v>
      </c>
      <c r="UO38" s="18" t="s">
        <v>23</v>
      </c>
      <c r="UP38" s="2">
        <f>UP12-VC12</f>
        <v>-600770.78</v>
      </c>
      <c r="UQ38" s="2"/>
      <c r="UR38" s="2">
        <f>UR12-VE12</f>
        <v>-271259.41999999993</v>
      </c>
      <c r="UT38" s="2">
        <f>UT12-VG12</f>
        <v>0</v>
      </c>
      <c r="UV38" s="2">
        <f>UV12-VI12</f>
        <v>0</v>
      </c>
      <c r="UX38" s="2">
        <f>UX12-VK12</f>
        <v>0</v>
      </c>
      <c r="UZ38" s="2">
        <f t="shared" si="186"/>
        <v>-872030.2</v>
      </c>
      <c r="VB38" s="18" t="s">
        <v>23</v>
      </c>
      <c r="VC38" s="2">
        <f>VC12-VP12</f>
        <v>-1327777.28</v>
      </c>
      <c r="VD38" s="2"/>
      <c r="VE38" s="2">
        <f>VE12-VR12</f>
        <v>-256730</v>
      </c>
      <c r="VG38" s="2">
        <f>VG12-VT12</f>
        <v>0</v>
      </c>
      <c r="VI38" s="2">
        <f>VI12-VV12</f>
        <v>0</v>
      </c>
      <c r="VK38" s="2">
        <f>VK12-VX12</f>
        <v>0</v>
      </c>
      <c r="VM38" s="2">
        <f t="shared" si="187"/>
        <v>-1584507.28</v>
      </c>
      <c r="VO38" s="18" t="s">
        <v>23</v>
      </c>
      <c r="VP38" s="2">
        <f>VP12</f>
        <v>-610147.52</v>
      </c>
      <c r="VQ38" s="2"/>
      <c r="VR38" s="2">
        <f>VR12</f>
        <v>-241218</v>
      </c>
      <c r="VT38" s="2">
        <f>VT12</f>
        <v>0</v>
      </c>
      <c r="VV38" s="2">
        <f>VV12</f>
        <v>0</v>
      </c>
      <c r="VX38" s="2">
        <f>VX12</f>
        <v>0</v>
      </c>
      <c r="VZ38" s="2">
        <f t="shared" si="188"/>
        <v>-851365.52</v>
      </c>
      <c r="WB38" s="18" t="s">
        <v>23</v>
      </c>
      <c r="WC38" s="2">
        <f>WC12-WP12</f>
        <v>-842872.2799999998</v>
      </c>
      <c r="WD38" s="2"/>
      <c r="WE38" s="2">
        <f>WE12-WR12</f>
        <v>-306880.69218954595</v>
      </c>
      <c r="WG38" s="2">
        <f>WG12-WT12</f>
        <v>0</v>
      </c>
      <c r="WI38" s="2">
        <f>WI12-WV12</f>
        <v>0</v>
      </c>
      <c r="WK38" s="2">
        <f>WK12-WX12</f>
        <v>0</v>
      </c>
      <c r="WM38" s="2">
        <f t="shared" si="189"/>
        <v>-1149752.9721895456</v>
      </c>
      <c r="WO38" s="18" t="s">
        <v>23</v>
      </c>
      <c r="WP38" s="2">
        <f>WP12-XC12</f>
        <v>-788411.95</v>
      </c>
      <c r="WQ38" s="2"/>
      <c r="WR38" s="2">
        <f>WR12-XE12</f>
        <v>-307722.80781045405</v>
      </c>
      <c r="WT38" s="2">
        <f>WT12-XG12</f>
        <v>0</v>
      </c>
      <c r="WV38" s="2">
        <f>WV12-XI12</f>
        <v>0</v>
      </c>
      <c r="WX38" s="2">
        <f>WX12-XK12</f>
        <v>0</v>
      </c>
      <c r="WZ38" s="2">
        <f t="shared" si="190"/>
        <v>-1096134.7578104539</v>
      </c>
      <c r="XB38" s="18" t="s">
        <v>23</v>
      </c>
      <c r="XC38" s="2">
        <f>XC12-XP12</f>
        <v>-753927.81</v>
      </c>
      <c r="XD38" s="2"/>
      <c r="XE38" s="2">
        <f>XE12-XR12</f>
        <v>-319708.14</v>
      </c>
      <c r="XG38" s="2">
        <f>XG12-XT12</f>
        <v>0</v>
      </c>
      <c r="XI38" s="2">
        <f>XI12-XV12</f>
        <v>0</v>
      </c>
      <c r="XK38" s="2">
        <f>XK12-XX12</f>
        <v>0</v>
      </c>
      <c r="XM38" s="2">
        <f t="shared" si="191"/>
        <v>-1073635.9500000002</v>
      </c>
      <c r="XO38" s="18" t="s">
        <v>23</v>
      </c>
      <c r="XP38" s="2">
        <f>XP12</f>
        <v>-596555.55000000005</v>
      </c>
      <c r="XQ38" s="2"/>
      <c r="XR38" s="2">
        <f>XR12</f>
        <v>-308349.36</v>
      </c>
      <c r="XT38" s="2">
        <f>XT12</f>
        <v>0</v>
      </c>
      <c r="XV38" s="2">
        <f>XV12</f>
        <v>0</v>
      </c>
      <c r="XX38" s="2">
        <f>XX12</f>
        <v>0</v>
      </c>
      <c r="XZ38" s="2">
        <f t="shared" si="192"/>
        <v>-904904.91</v>
      </c>
      <c r="YB38" s="18" t="s">
        <v>23</v>
      </c>
      <c r="YC38" s="2">
        <f>YC12-YP12</f>
        <v>-661037.05000000005</v>
      </c>
      <c r="YD38" s="2"/>
      <c r="YE38" s="2">
        <f>YE12-YR12</f>
        <v>-352652.3600000001</v>
      </c>
      <c r="YG38" s="2">
        <f>YG12-YT12</f>
        <v>0</v>
      </c>
      <c r="YI38" s="2">
        <f>YI12-YV12</f>
        <v>0</v>
      </c>
      <c r="YK38" s="2">
        <f>YK12-YX12</f>
        <v>113301</v>
      </c>
      <c r="YM38" s="2">
        <f t="shared" si="193"/>
        <v>-900388.41000000015</v>
      </c>
      <c r="YO38" s="18"/>
      <c r="YP38" s="2"/>
      <c r="YQ38" s="2"/>
    </row>
    <row r="39" spans="1:676">
      <c r="A39" s="51" t="s">
        <v>24</v>
      </c>
      <c r="B39" s="2">
        <f t="shared" si="194"/>
        <v>0</v>
      </c>
      <c r="C39" s="2"/>
      <c r="D39" s="2">
        <f t="shared" si="195"/>
        <v>0</v>
      </c>
      <c r="F39" s="2">
        <f t="shared" si="196"/>
        <v>0</v>
      </c>
      <c r="H39" s="2">
        <f t="shared" si="197"/>
        <v>0</v>
      </c>
      <c r="J39" s="2">
        <f t="shared" si="198"/>
        <v>-8663550.5256540924</v>
      </c>
      <c r="L39" s="2">
        <f t="shared" si="199"/>
        <v>-106200</v>
      </c>
      <c r="N39" s="2">
        <f t="shared" si="200"/>
        <v>-8769750.5256540924</v>
      </c>
      <c r="Q39" s="51" t="s">
        <v>24</v>
      </c>
      <c r="R39" s="2">
        <f t="shared" si="201"/>
        <v>0</v>
      </c>
      <c r="S39" s="2"/>
      <c r="T39" s="2">
        <f t="shared" si="202"/>
        <v>0</v>
      </c>
      <c r="V39" s="2">
        <f t="shared" si="203"/>
        <v>0</v>
      </c>
      <c r="W39" s="2"/>
      <c r="X39" s="2">
        <f t="shared" si="204"/>
        <v>0</v>
      </c>
      <c r="Z39" s="2">
        <f t="shared" si="205"/>
        <v>-5093703.6098185722</v>
      </c>
      <c r="AB39" s="2">
        <f t="shared" si="206"/>
        <v>35400</v>
      </c>
      <c r="AD39" s="71">
        <f t="shared" si="207"/>
        <v>-5058303.6098185722</v>
      </c>
      <c r="AG39" s="51" t="s">
        <v>24</v>
      </c>
      <c r="AH39" s="2">
        <f t="shared" si="208"/>
        <v>0</v>
      </c>
      <c r="AI39" s="2"/>
      <c r="AJ39" s="2">
        <f t="shared" si="209"/>
        <v>0</v>
      </c>
      <c r="AL39" s="2">
        <f t="shared" si="210"/>
        <v>0</v>
      </c>
      <c r="AM39" s="2"/>
      <c r="AN39" s="2">
        <f t="shared" si="211"/>
        <v>0</v>
      </c>
      <c r="AP39" s="2">
        <f t="shared" si="212"/>
        <v>-5102880.0932833347</v>
      </c>
      <c r="AR39" s="2">
        <f t="shared" si="213"/>
        <v>35400</v>
      </c>
      <c r="AT39" s="71">
        <f t="shared" si="214"/>
        <v>-5067480.0932833347</v>
      </c>
      <c r="AW39" s="51" t="s">
        <v>24</v>
      </c>
      <c r="AX39" s="2">
        <f t="shared" ref="AX39" si="379">AX13</f>
        <v>0</v>
      </c>
      <c r="AY39" s="2"/>
      <c r="AZ39" s="2">
        <f t="shared" ref="AZ39" si="380">AZ13</f>
        <v>0</v>
      </c>
      <c r="BB39" s="2">
        <f t="shared" ref="BB39" si="381">BB13</f>
        <v>0</v>
      </c>
      <c r="BC39" s="2"/>
      <c r="BD39" s="2">
        <f t="shared" ref="BD39" si="382">BD13</f>
        <v>0</v>
      </c>
      <c r="BF39" s="2">
        <f t="shared" ref="BF39" si="383">BF13</f>
        <v>-4320356.3312439993</v>
      </c>
      <c r="BH39" s="2">
        <f t="shared" ref="BH39" si="384">BH13</f>
        <v>35400</v>
      </c>
      <c r="BJ39" s="2">
        <f t="shared" si="309"/>
        <v>-4284956.3312439993</v>
      </c>
      <c r="BM39" s="51" t="s">
        <v>24</v>
      </c>
      <c r="BN39" s="2">
        <f t="shared" si="221"/>
        <v>0</v>
      </c>
      <c r="BO39" s="2"/>
      <c r="BP39" s="2">
        <f t="shared" si="222"/>
        <v>0</v>
      </c>
      <c r="BR39" s="2">
        <f t="shared" si="223"/>
        <v>0</v>
      </c>
      <c r="BT39" s="2">
        <f t="shared" si="224"/>
        <v>0</v>
      </c>
      <c r="BV39" s="2">
        <f t="shared" si="225"/>
        <v>-5021551.519775115</v>
      </c>
      <c r="BX39" s="2">
        <f t="shared" si="226"/>
        <v>35400</v>
      </c>
      <c r="BZ39" s="2">
        <f t="shared" si="310"/>
        <v>-4986151.519775115</v>
      </c>
      <c r="CC39" s="51" t="s">
        <v>24</v>
      </c>
      <c r="CD39" s="2">
        <f t="shared" si="227"/>
        <v>0</v>
      </c>
      <c r="CE39" s="2"/>
      <c r="CF39" s="2">
        <f t="shared" si="228"/>
        <v>0</v>
      </c>
      <c r="CH39" s="2">
        <f t="shared" si="229"/>
        <v>0</v>
      </c>
      <c r="CI39" s="2"/>
      <c r="CJ39" s="2">
        <f t="shared" si="230"/>
        <v>0</v>
      </c>
      <c r="CL39" s="2">
        <f t="shared" si="231"/>
        <v>-3541950.3065813901</v>
      </c>
      <c r="CN39" s="2">
        <f t="shared" si="232"/>
        <v>35399.995434832759</v>
      </c>
      <c r="CP39" s="2">
        <f t="shared" si="311"/>
        <v>-3506550.3111465573</v>
      </c>
      <c r="CS39" s="51" t="s">
        <v>24</v>
      </c>
      <c r="CT39" s="2">
        <f t="shared" si="233"/>
        <v>0</v>
      </c>
      <c r="CU39" s="2"/>
      <c r="CV39" s="2">
        <f t="shared" si="234"/>
        <v>0</v>
      </c>
      <c r="CX39" s="2">
        <f t="shared" si="235"/>
        <v>0</v>
      </c>
      <c r="CY39" s="2"/>
      <c r="CZ39" s="2">
        <f t="shared" si="236"/>
        <v>0</v>
      </c>
      <c r="DB39" s="2">
        <f t="shared" si="237"/>
        <v>-2665493.4423818337</v>
      </c>
      <c r="DD39" s="2">
        <f t="shared" si="238"/>
        <v>35400.004565167241</v>
      </c>
      <c r="DF39" s="2">
        <f t="shared" si="312"/>
        <v>-2630093.4378166664</v>
      </c>
      <c r="DI39" s="51" t="s">
        <v>24</v>
      </c>
      <c r="DJ39" s="2">
        <f t="shared" ref="DJ39:DL42" si="385">DJ13</f>
        <v>0</v>
      </c>
      <c r="DK39" s="2"/>
      <c r="DL39" s="2">
        <f t="shared" si="385"/>
        <v>0</v>
      </c>
      <c r="DN39" s="2">
        <f t="shared" ref="DN39:DP39" si="386">DN13</f>
        <v>0</v>
      </c>
      <c r="DO39" s="2"/>
      <c r="DP39" s="2">
        <f t="shared" si="386"/>
        <v>0</v>
      </c>
      <c r="DR39" s="2">
        <f t="shared" ref="DR39" si="387">DR13</f>
        <v>-4468985.7421833333</v>
      </c>
      <c r="DT39" s="2">
        <f t="shared" ref="DT39" si="388">DT13</f>
        <v>35400</v>
      </c>
      <c r="DV39" s="2">
        <f t="shared" si="319"/>
        <v>-4433585.7421833333</v>
      </c>
      <c r="DY39" s="51" t="s">
        <v>24</v>
      </c>
      <c r="DZ39" s="2">
        <f t="shared" si="320"/>
        <v>0</v>
      </c>
      <c r="EA39" s="2"/>
      <c r="EB39" s="2">
        <f t="shared" si="320"/>
        <v>0</v>
      </c>
      <c r="ED39" s="2">
        <f t="shared" si="320"/>
        <v>0</v>
      </c>
      <c r="EF39" s="2">
        <f t="shared" si="320"/>
        <v>-4999593.2300752196</v>
      </c>
      <c r="EH39" s="2">
        <f t="shared" si="320"/>
        <v>38032.495237667114</v>
      </c>
      <c r="EJ39" s="2">
        <f t="shared" si="321"/>
        <v>-4961560.7348375525</v>
      </c>
      <c r="EM39" s="51" t="s">
        <v>24</v>
      </c>
      <c r="EN39" s="2">
        <f t="shared" si="239"/>
        <v>0</v>
      </c>
      <c r="EO39" s="2"/>
      <c r="EP39" s="2">
        <f t="shared" si="239"/>
        <v>0</v>
      </c>
      <c r="ER39" s="2">
        <f t="shared" si="239"/>
        <v>0</v>
      </c>
      <c r="ET39" s="2">
        <f t="shared" si="239"/>
        <v>-3334928.7603314482</v>
      </c>
      <c r="EV39" s="2">
        <f t="shared" si="239"/>
        <v>38910</v>
      </c>
      <c r="EX39" s="2">
        <f t="shared" si="322"/>
        <v>-3296018.7603314482</v>
      </c>
      <c r="FA39" s="51" t="s">
        <v>24</v>
      </c>
      <c r="FB39" s="2">
        <f t="shared" si="240"/>
        <v>0</v>
      </c>
      <c r="FC39" s="2"/>
      <c r="FD39" s="2">
        <f t="shared" si="240"/>
        <v>0</v>
      </c>
      <c r="FF39" s="2">
        <f t="shared" si="240"/>
        <v>0</v>
      </c>
      <c r="FH39" s="2">
        <f t="shared" si="240"/>
        <v>-2770344.9648309993</v>
      </c>
      <c r="FJ39" s="2">
        <f t="shared" si="240"/>
        <v>33787.5</v>
      </c>
      <c r="FL39" s="2">
        <f t="shared" si="323"/>
        <v>-2736557.4648309993</v>
      </c>
      <c r="FO39" s="51" t="s">
        <v>24</v>
      </c>
      <c r="FP39" s="2">
        <f t="shared" ref="FP39:FR39" si="389">FP13</f>
        <v>0</v>
      </c>
      <c r="FQ39" s="2"/>
      <c r="FR39" s="2">
        <f t="shared" si="389"/>
        <v>0</v>
      </c>
      <c r="FT39" s="2">
        <f t="shared" ref="FT39" si="390">FT13</f>
        <v>0</v>
      </c>
      <c r="FV39" s="2">
        <f t="shared" ref="FV39" si="391">FV13</f>
        <v>-2692651.96</v>
      </c>
      <c r="FX39" s="2">
        <f t="shared" ref="FX39" si="392">FX13</f>
        <v>31665</v>
      </c>
      <c r="FZ39" s="2">
        <f t="shared" si="328"/>
        <v>-2660986.96</v>
      </c>
      <c r="GC39" s="51" t="s">
        <v>24</v>
      </c>
      <c r="GD39" s="2">
        <f t="shared" si="329"/>
        <v>0</v>
      </c>
      <c r="GE39" s="2"/>
      <c r="GF39" s="2">
        <f t="shared" si="245"/>
        <v>0</v>
      </c>
      <c r="GH39" s="2">
        <f t="shared" si="246"/>
        <v>0</v>
      </c>
      <c r="GJ39" s="2">
        <f t="shared" si="247"/>
        <v>-2833851.964230001</v>
      </c>
      <c r="GL39" s="2">
        <f t="shared" si="248"/>
        <v>246192.64000000004</v>
      </c>
      <c r="GN39" s="2">
        <f t="shared" si="330"/>
        <v>-2587659.3242300008</v>
      </c>
      <c r="GQ39" s="51" t="s">
        <v>24</v>
      </c>
      <c r="GR39" s="2">
        <f t="shared" si="249"/>
        <v>0</v>
      </c>
      <c r="GS39" s="2"/>
      <c r="GT39" s="2">
        <f t="shared" si="250"/>
        <v>0</v>
      </c>
      <c r="GV39" s="2">
        <f t="shared" si="251"/>
        <v>0</v>
      </c>
      <c r="GX39" s="2">
        <f t="shared" si="252"/>
        <v>-2624351.8678303314</v>
      </c>
      <c r="GZ39" s="2">
        <f t="shared" si="253"/>
        <v>-28279.05166550001</v>
      </c>
      <c r="HB39" s="2">
        <f t="shared" si="331"/>
        <v>-2652630.9194958312</v>
      </c>
      <c r="HE39" s="51" t="s">
        <v>24</v>
      </c>
      <c r="HF39" s="2">
        <f t="shared" si="254"/>
        <v>0</v>
      </c>
      <c r="HG39" s="2"/>
      <c r="HH39" s="2">
        <f t="shared" si="255"/>
        <v>0</v>
      </c>
      <c r="HJ39" s="2">
        <f t="shared" si="256"/>
        <v>0</v>
      </c>
      <c r="HL39" s="2">
        <f t="shared" si="257"/>
        <v>-2358389.308857</v>
      </c>
      <c r="HN39" s="2">
        <f t="shared" si="258"/>
        <v>113766.5216655</v>
      </c>
      <c r="HP39" s="2">
        <f t="shared" si="332"/>
        <v>-2244622.7871915</v>
      </c>
      <c r="HS39" s="51" t="s">
        <v>24</v>
      </c>
      <c r="HT39" s="2">
        <f>HT13</f>
        <v>0</v>
      </c>
      <c r="HU39" s="2"/>
      <c r="HV39" s="2">
        <f>HV13</f>
        <v>0</v>
      </c>
      <c r="HX39" s="2">
        <f>HX13</f>
        <v>0</v>
      </c>
      <c r="HZ39" s="2">
        <f>HZ13</f>
        <v>-2063855.77</v>
      </c>
      <c r="IB39" s="2">
        <f>IB13</f>
        <v>28879.300000000003</v>
      </c>
      <c r="ID39" s="2">
        <f t="shared" si="338"/>
        <v>-2034976.47</v>
      </c>
      <c r="IG39" s="51" t="s">
        <v>24</v>
      </c>
      <c r="IH39" s="2">
        <f t="shared" si="259"/>
        <v>0</v>
      </c>
      <c r="II39" s="2"/>
      <c r="IJ39" s="2">
        <f t="shared" si="260"/>
        <v>0</v>
      </c>
      <c r="IL39" s="2">
        <f t="shared" si="261"/>
        <v>0</v>
      </c>
      <c r="IN39" s="2">
        <f t="shared" si="262"/>
        <v>-1780284.4699999997</v>
      </c>
      <c r="IP39" s="2">
        <f t="shared" si="263"/>
        <v>36017.87000000001</v>
      </c>
      <c r="IR39" s="2">
        <f t="shared" si="339"/>
        <v>-1744266.5999999996</v>
      </c>
      <c r="IU39" s="51" t="s">
        <v>24</v>
      </c>
      <c r="IV39" s="2">
        <f t="shared" si="264"/>
        <v>0</v>
      </c>
      <c r="IW39" s="2"/>
      <c r="IX39" s="2">
        <f t="shared" si="264"/>
        <v>0</v>
      </c>
      <c r="IZ39" s="2">
        <f t="shared" si="264"/>
        <v>0</v>
      </c>
      <c r="JB39" s="2">
        <f t="shared" si="264"/>
        <v>-1624335.1799999997</v>
      </c>
      <c r="JD39" s="2">
        <f t="shared" si="264"/>
        <v>36895.369999999995</v>
      </c>
      <c r="JF39" s="2">
        <f t="shared" si="340"/>
        <v>-1587439.8099999996</v>
      </c>
      <c r="JI39" s="51" t="s">
        <v>24</v>
      </c>
      <c r="JJ39" s="2">
        <f t="shared" si="265"/>
        <v>0</v>
      </c>
      <c r="JK39" s="2"/>
      <c r="JL39" s="2">
        <f t="shared" si="266"/>
        <v>0</v>
      </c>
      <c r="JN39" s="2">
        <f t="shared" si="267"/>
        <v>0</v>
      </c>
      <c r="JP39" s="2">
        <f t="shared" si="268"/>
        <v>-1793906.4500000002</v>
      </c>
      <c r="JR39" s="2">
        <f t="shared" si="269"/>
        <v>28997.870000000003</v>
      </c>
      <c r="JT39" s="2">
        <f t="shared" si="341"/>
        <v>-1764908.58</v>
      </c>
      <c r="JW39" s="51" t="s">
        <v>24</v>
      </c>
      <c r="JX39" s="2">
        <f>JX13</f>
        <v>0</v>
      </c>
      <c r="JY39" s="2"/>
      <c r="JZ39" s="2">
        <f>JZ13</f>
        <v>0</v>
      </c>
      <c r="KB39" s="2">
        <f>KB13</f>
        <v>0</v>
      </c>
      <c r="KD39" s="2">
        <f>KD13</f>
        <v>-1722764.5</v>
      </c>
      <c r="KF39" s="2">
        <f>KF13</f>
        <v>38425.370000000003</v>
      </c>
      <c r="KH39" s="2">
        <f t="shared" si="346"/>
        <v>-1684339.13</v>
      </c>
      <c r="KK39" s="51" t="s">
        <v>24</v>
      </c>
      <c r="KL39" s="2">
        <f t="shared" si="270"/>
        <v>0</v>
      </c>
      <c r="KM39" s="2"/>
      <c r="KN39" s="2">
        <f t="shared" si="271"/>
        <v>0</v>
      </c>
      <c r="KP39" s="2">
        <f t="shared" si="272"/>
        <v>0</v>
      </c>
      <c r="KR39" s="2">
        <f t="shared" si="273"/>
        <v>-1735674.5299999993</v>
      </c>
      <c r="KT39" s="2">
        <f t="shared" si="274"/>
        <v>43352.87000000001</v>
      </c>
      <c r="KV39" s="2">
        <f t="shared" si="347"/>
        <v>-1692321.6599999992</v>
      </c>
      <c r="KY39" s="51" t="s">
        <v>24</v>
      </c>
      <c r="KZ39" s="2">
        <f t="shared" si="275"/>
        <v>0</v>
      </c>
      <c r="LA39" s="2"/>
      <c r="LB39" s="2">
        <f t="shared" si="276"/>
        <v>0</v>
      </c>
      <c r="LD39" s="2">
        <f t="shared" si="277"/>
        <v>0</v>
      </c>
      <c r="LF39" s="2">
        <f t="shared" si="278"/>
        <v>-1423540.4100000001</v>
      </c>
      <c r="LH39" s="2">
        <f t="shared" si="279"/>
        <v>40180.369999999995</v>
      </c>
      <c r="LJ39" s="2">
        <f t="shared" si="280"/>
        <v>-1383360.04</v>
      </c>
      <c r="LM39" s="51" t="s">
        <v>24</v>
      </c>
      <c r="LN39" s="2">
        <f t="shared" si="348"/>
        <v>0</v>
      </c>
      <c r="LO39" s="2"/>
      <c r="LP39" s="2">
        <f t="shared" si="349"/>
        <v>0</v>
      </c>
      <c r="LR39" s="2">
        <f t="shared" si="350"/>
        <v>0</v>
      </c>
      <c r="LT39" s="2">
        <f t="shared" si="351"/>
        <v>-1837277.5700000003</v>
      </c>
      <c r="LV39" s="2">
        <f t="shared" si="281"/>
        <v>45332.87</v>
      </c>
      <c r="LX39" s="2">
        <f t="shared" si="282"/>
        <v>-1791944.7000000002</v>
      </c>
      <c r="LZ39" s="51" t="s">
        <v>24</v>
      </c>
      <c r="MA39" s="2">
        <f t="shared" si="283"/>
        <v>0</v>
      </c>
      <c r="MB39" s="2"/>
      <c r="MC39" s="2">
        <f t="shared" si="284"/>
        <v>0</v>
      </c>
      <c r="ME39" s="2">
        <f t="shared" si="285"/>
        <v>0</v>
      </c>
      <c r="MF39" s="61"/>
      <c r="MG39" s="2">
        <f t="shared" si="286"/>
        <v>-1889511</v>
      </c>
      <c r="MI39" s="2">
        <f t="shared" si="287"/>
        <v>37660.370000000003</v>
      </c>
      <c r="MK39" s="2">
        <f t="shared" si="352"/>
        <v>-1851850.63</v>
      </c>
      <c r="MM39" s="51" t="s">
        <v>24</v>
      </c>
      <c r="MN39" s="2">
        <f t="shared" si="288"/>
        <v>0</v>
      </c>
      <c r="MO39" s="2"/>
      <c r="MP39" s="2">
        <f t="shared" si="288"/>
        <v>0</v>
      </c>
      <c r="MR39" s="2">
        <f t="shared" si="288"/>
        <v>0</v>
      </c>
      <c r="MT39" s="2">
        <f t="shared" si="288"/>
        <v>-3134322.7700000014</v>
      </c>
      <c r="MV39" s="2">
        <f t="shared" si="288"/>
        <v>56053.25</v>
      </c>
      <c r="MX39" s="2">
        <f t="shared" si="353"/>
        <v>-3078269.5200000014</v>
      </c>
      <c r="NA39" s="51" t="s">
        <v>24</v>
      </c>
      <c r="NB39" s="2">
        <f t="shared" si="289"/>
        <v>0</v>
      </c>
      <c r="NC39" s="2"/>
      <c r="ND39" s="2">
        <f t="shared" si="290"/>
        <v>0</v>
      </c>
      <c r="NF39" s="2">
        <f t="shared" si="291"/>
        <v>0</v>
      </c>
      <c r="NH39" s="2">
        <f t="shared" si="292"/>
        <v>-1974208.2699999996</v>
      </c>
      <c r="NJ39" s="2">
        <f t="shared" si="293"/>
        <v>83775</v>
      </c>
      <c r="NL39" s="2">
        <f t="shared" si="294"/>
        <v>-1890433.2699999996</v>
      </c>
      <c r="NO39" s="51" t="s">
        <v>24</v>
      </c>
      <c r="NP39" s="2">
        <f t="shared" si="354"/>
        <v>0</v>
      </c>
      <c r="NQ39" s="2"/>
      <c r="NR39" s="2">
        <f t="shared" si="355"/>
        <v>0</v>
      </c>
      <c r="NT39" s="2">
        <f t="shared" si="356"/>
        <v>0</v>
      </c>
      <c r="NV39" s="2">
        <f t="shared" si="295"/>
        <v>-2263313.44</v>
      </c>
      <c r="NX39" s="2">
        <f t="shared" si="295"/>
        <v>54112.5</v>
      </c>
      <c r="NZ39" s="2">
        <f t="shared" si="296"/>
        <v>-2209200.94</v>
      </c>
      <c r="OB39" s="51" t="s">
        <v>24</v>
      </c>
      <c r="OC39" s="2">
        <f>OC13</f>
        <v>0</v>
      </c>
      <c r="OD39" s="2"/>
      <c r="OE39" s="2">
        <f>OE13</f>
        <v>0</v>
      </c>
      <c r="OG39" s="2">
        <f t="shared" si="297"/>
        <v>0</v>
      </c>
      <c r="OH39" s="61"/>
      <c r="OI39" s="2">
        <f t="shared" si="298"/>
        <v>-2110905.8800000004</v>
      </c>
      <c r="OK39" s="2">
        <f t="shared" si="299"/>
        <v>0</v>
      </c>
      <c r="OM39" s="2">
        <f t="shared" si="300"/>
        <v>-2110905.8800000004</v>
      </c>
      <c r="OO39" s="18" t="s">
        <v>24</v>
      </c>
      <c r="OP39" s="2">
        <f t="shared" ref="OP39:OP42" si="393">OP13-PC13</f>
        <v>0</v>
      </c>
      <c r="OQ39" s="2"/>
      <c r="OR39" s="2">
        <f t="shared" ref="OR39:OR42" si="394">OR13-PE13</f>
        <v>0</v>
      </c>
      <c r="OT39" s="2">
        <v>0</v>
      </c>
      <c r="OV39" s="2">
        <v>-1588653.4000000032</v>
      </c>
      <c r="OW39" s="2">
        <f t="shared" si="301"/>
        <v>0</v>
      </c>
      <c r="OX39" s="2">
        <v>-43653.129999999976</v>
      </c>
      <c r="OZ39" s="2">
        <f t="shared" si="175"/>
        <v>-1632306.5300000031</v>
      </c>
      <c r="PB39" s="18" t="s">
        <v>24</v>
      </c>
      <c r="PC39" s="2"/>
      <c r="PD39" s="2"/>
      <c r="PE39" s="2">
        <f>PE13-PR13</f>
        <v>0</v>
      </c>
      <c r="PG39" s="39">
        <f>PG13-PT13</f>
        <v>0</v>
      </c>
      <c r="PI39" s="2">
        <f>PI13-PV13</f>
        <v>-1894368.1099999994</v>
      </c>
      <c r="PK39" s="2">
        <f>PK13-PX13</f>
        <v>-3826.8700000000244</v>
      </c>
      <c r="PM39" s="2">
        <f t="shared" si="176"/>
        <v>-1898194.9799999995</v>
      </c>
      <c r="PO39" s="51" t="s">
        <v>24</v>
      </c>
      <c r="PP39" s="2"/>
      <c r="PQ39" s="2"/>
      <c r="PR39" s="2">
        <f>PR13-QE13</f>
        <v>0</v>
      </c>
      <c r="PT39" s="39">
        <f>PT13-QG13</f>
        <v>0</v>
      </c>
      <c r="PV39" s="2">
        <f>PV13-QI13</f>
        <v>-1689124.2499999991</v>
      </c>
      <c r="PX39" s="2">
        <f>PX13-QK13</f>
        <v>-40510.800000000003</v>
      </c>
      <c r="PZ39" s="2">
        <f t="shared" si="302"/>
        <v>-1729635.0499999991</v>
      </c>
      <c r="QB39" s="18" t="s">
        <v>24</v>
      </c>
      <c r="QC39" s="2"/>
      <c r="QD39" s="2"/>
      <c r="QE39" s="2">
        <f>QE13-QR13</f>
        <v>0</v>
      </c>
      <c r="QG39" s="39">
        <v>0</v>
      </c>
      <c r="QI39" s="2">
        <f>QI13-QV13</f>
        <v>-1854741.21</v>
      </c>
      <c r="QK39" s="2">
        <f>QK13-QX13</f>
        <v>21900</v>
      </c>
      <c r="QM39" s="2">
        <f t="shared" si="177"/>
        <v>-1832841.21</v>
      </c>
      <c r="QO39" s="18" t="s">
        <v>24</v>
      </c>
      <c r="QP39" s="2"/>
      <c r="QQ39" s="2"/>
      <c r="QR39" s="2">
        <f>QR13-RE13</f>
        <v>0</v>
      </c>
      <c r="QT39" s="2">
        <f>QT13-RG13</f>
        <v>0</v>
      </c>
      <c r="QV39" s="2">
        <f>QV13-RI13</f>
        <v>-1504228.15</v>
      </c>
      <c r="QX39" s="2">
        <f>QX13-RK13</f>
        <v>21900</v>
      </c>
      <c r="QZ39" s="2">
        <f t="shared" si="178"/>
        <v>-1482328.15</v>
      </c>
      <c r="RB39" s="18" t="s">
        <v>24</v>
      </c>
      <c r="RC39" s="2"/>
      <c r="RD39" s="2"/>
      <c r="RE39" s="2">
        <f>RE13-RR13</f>
        <v>0</v>
      </c>
      <c r="RG39" s="2">
        <f>RG13-RT13</f>
        <v>0</v>
      </c>
      <c r="RI39" s="2">
        <f>RI13-RV13</f>
        <v>-1816273.9999999998</v>
      </c>
      <c r="RK39" s="2">
        <f>RK13-RX13</f>
        <v>22086.800000000003</v>
      </c>
      <c r="RM39" s="2">
        <f t="shared" si="179"/>
        <v>-1794187.1999999997</v>
      </c>
      <c r="RO39" s="18" t="s">
        <v>24</v>
      </c>
      <c r="RP39" s="2"/>
      <c r="RQ39" s="2"/>
      <c r="RT39" s="2">
        <f>RT13</f>
        <v>0</v>
      </c>
      <c r="RV39" s="2">
        <f>RV13</f>
        <v>-1745142.86</v>
      </c>
      <c r="RX39" s="2">
        <f>RX13</f>
        <v>22104</v>
      </c>
      <c r="RZ39" s="2">
        <f t="shared" si="180"/>
        <v>-1723038.86</v>
      </c>
      <c r="SB39" s="18" t="s">
        <v>24</v>
      </c>
      <c r="SC39" s="2"/>
      <c r="SD39" s="2"/>
      <c r="SE39" s="2">
        <f>SE13-SR13</f>
        <v>0</v>
      </c>
      <c r="SG39" s="2">
        <f>SG13-ST13</f>
        <v>0</v>
      </c>
      <c r="SI39" s="2">
        <f>SI13-SV13</f>
        <v>-1613258.13</v>
      </c>
      <c r="SK39" s="2">
        <f>SK13-SX13</f>
        <v>23441.600000000006</v>
      </c>
      <c r="SM39" s="2">
        <f t="shared" si="181"/>
        <v>-1589816.5299999998</v>
      </c>
      <c r="SO39" s="18" t="s">
        <v>24</v>
      </c>
      <c r="SP39" s="2"/>
      <c r="SQ39" s="2"/>
      <c r="SR39" s="2">
        <f>SR13-TE13</f>
        <v>0</v>
      </c>
      <c r="ST39" s="2">
        <f>ST13-TG13</f>
        <v>0</v>
      </c>
      <c r="SV39" s="2">
        <f>SV13-TI13</f>
        <v>-1948546.8900000001</v>
      </c>
      <c r="SX39" s="2">
        <f>SX13-TK13</f>
        <v>22104</v>
      </c>
      <c r="SZ39" s="2">
        <f t="shared" si="182"/>
        <v>-1926442.8900000001</v>
      </c>
      <c r="TB39" s="18" t="s">
        <v>24</v>
      </c>
      <c r="TC39" s="2"/>
      <c r="TD39" s="2"/>
      <c r="TE39" s="2">
        <f>TE13-TR13</f>
        <v>0</v>
      </c>
      <c r="TG39" s="2">
        <f>TG13-TT13</f>
        <v>0</v>
      </c>
      <c r="TI39" s="2">
        <f>TI13-TV13</f>
        <v>-1986156.23</v>
      </c>
      <c r="TK39" s="2">
        <f>TK13-TX13</f>
        <v>21535.119999999999</v>
      </c>
      <c r="TM39" s="2">
        <f t="shared" si="183"/>
        <v>-1964621.1099999999</v>
      </c>
      <c r="TO39" s="18" t="s">
        <v>24</v>
      </c>
      <c r="TP39" s="2"/>
      <c r="TQ39" s="2"/>
      <c r="TR39" s="2">
        <f>TR13-UE13</f>
        <v>0</v>
      </c>
      <c r="TT39" s="2">
        <f>TT13</f>
        <v>0</v>
      </c>
      <c r="TV39" s="2">
        <f>TV13</f>
        <v>-1530594.67</v>
      </c>
      <c r="TX39" s="2">
        <f>TX13</f>
        <v>22414.44</v>
      </c>
      <c r="TZ39" s="2">
        <f t="shared" si="184"/>
        <v>-1508180.23</v>
      </c>
      <c r="UB39" s="18" t="s">
        <v>24</v>
      </c>
      <c r="UC39" s="2"/>
      <c r="UD39" s="2"/>
      <c r="UE39" s="2">
        <f>UE13-UR13</f>
        <v>0</v>
      </c>
      <c r="UG39" s="2">
        <f>UG13-UT13</f>
        <v>0</v>
      </c>
      <c r="UI39" s="2">
        <f>UI13-UV13</f>
        <v>-1560540</v>
      </c>
      <c r="UK39" s="2">
        <f>UK13-UX13</f>
        <v>21948.960000000196</v>
      </c>
      <c r="UM39" s="2">
        <f t="shared" si="185"/>
        <v>-1538591.0399999998</v>
      </c>
      <c r="UO39" s="18" t="s">
        <v>24</v>
      </c>
      <c r="UP39" s="2"/>
      <c r="UQ39" s="2"/>
      <c r="UR39" s="2">
        <f>UR13-VE13</f>
        <v>0</v>
      </c>
      <c r="UT39" s="2">
        <f>UT13-VG13</f>
        <v>0</v>
      </c>
      <c r="UV39" s="2">
        <f>UV13-VI13</f>
        <v>-1668521.1799999997</v>
      </c>
      <c r="UX39" s="2">
        <f>UX13-VK13</f>
        <v>22317.320000000007</v>
      </c>
      <c r="UZ39" s="2">
        <f t="shared" si="186"/>
        <v>-1646203.8599999996</v>
      </c>
      <c r="VB39" s="18" t="s">
        <v>24</v>
      </c>
      <c r="VC39" s="2"/>
      <c r="VD39" s="2"/>
      <c r="VE39" s="2">
        <f>VE13-VR13</f>
        <v>0</v>
      </c>
      <c r="VG39" s="2">
        <f>VG13-VT13</f>
        <v>0</v>
      </c>
      <c r="VI39" s="2">
        <f>VI13-VV13</f>
        <v>-1638055.26</v>
      </c>
      <c r="VK39" s="2">
        <f>VK13-VX13</f>
        <v>22465.629999999997</v>
      </c>
      <c r="VM39" s="2">
        <f t="shared" si="187"/>
        <v>-1615589.6300000001</v>
      </c>
      <c r="VO39" s="18" t="s">
        <v>24</v>
      </c>
      <c r="VP39" s="2"/>
      <c r="VQ39" s="2"/>
      <c r="VR39" s="2">
        <f>VR13-WE13</f>
        <v>0</v>
      </c>
      <c r="VT39" s="2">
        <f>VT13</f>
        <v>0</v>
      </c>
      <c r="VV39" s="2">
        <f>VV13</f>
        <v>-1607252.86</v>
      </c>
      <c r="VX39" s="2">
        <f>VX13</f>
        <v>22539.79</v>
      </c>
      <c r="VZ39" s="2">
        <f t="shared" si="188"/>
        <v>-1584713.07</v>
      </c>
      <c r="WB39" s="18" t="s">
        <v>24</v>
      </c>
      <c r="WC39" s="2"/>
      <c r="WD39" s="2"/>
      <c r="WE39" s="2">
        <f>WE13-WR13</f>
        <v>0</v>
      </c>
      <c r="WG39" s="2">
        <f>WG13-WT13</f>
        <v>0</v>
      </c>
      <c r="WI39" s="2">
        <f>WI13-WV13</f>
        <v>-2226070.16</v>
      </c>
      <c r="WK39" s="2">
        <f>WK13-WX13</f>
        <v>10930.77</v>
      </c>
      <c r="WM39" s="2">
        <f t="shared" si="189"/>
        <v>-2215139.39</v>
      </c>
      <c r="WO39" s="18" t="s">
        <v>24</v>
      </c>
      <c r="WP39" s="2"/>
      <c r="WQ39" s="2"/>
      <c r="WR39" s="2">
        <f>WR13-XE13</f>
        <v>0</v>
      </c>
      <c r="WT39" s="2">
        <f>WT13-XG13</f>
        <v>0</v>
      </c>
      <c r="WV39" s="2">
        <f>WV13-XI13</f>
        <v>-1179228.71</v>
      </c>
      <c r="WX39" s="2">
        <f>WX13-XK13</f>
        <v>1652.49999999992</v>
      </c>
      <c r="WZ39" s="2">
        <f t="shared" si="190"/>
        <v>-1177576.21</v>
      </c>
      <c r="XB39" s="18" t="s">
        <v>24</v>
      </c>
      <c r="XC39" s="2"/>
      <c r="XD39" s="2"/>
      <c r="XE39" s="2">
        <f>XE13-XR13</f>
        <v>0</v>
      </c>
      <c r="XG39" s="2">
        <f>XG13-XT13</f>
        <v>0</v>
      </c>
      <c r="XI39" s="2">
        <f>XI13-XV13</f>
        <v>-1677172.34</v>
      </c>
      <c r="XK39" s="2">
        <f>XK13-XX13</f>
        <v>1652.00000000008</v>
      </c>
      <c r="XM39" s="2">
        <f t="shared" si="191"/>
        <v>-1675520.34</v>
      </c>
      <c r="XO39" s="18" t="s">
        <v>24</v>
      </c>
      <c r="XP39" s="2"/>
      <c r="XQ39" s="2"/>
      <c r="XR39" s="2">
        <f>XR13-YE13</f>
        <v>0</v>
      </c>
      <c r="XT39" s="2">
        <f>XT13</f>
        <v>0</v>
      </c>
      <c r="XV39" s="2">
        <f>XV13</f>
        <v>-1300266.6500000001</v>
      </c>
      <c r="XX39" s="2">
        <f>XX13</f>
        <v>1653</v>
      </c>
      <c r="XZ39" s="2">
        <f t="shared" si="192"/>
        <v>-1298613.6500000001</v>
      </c>
      <c r="YB39" s="18" t="s">
        <v>24</v>
      </c>
      <c r="YC39" s="2"/>
      <c r="YD39" s="2"/>
      <c r="YE39" s="2">
        <f>YE13-YR13</f>
        <v>0</v>
      </c>
      <c r="YG39" s="2">
        <f>YG13-YT13</f>
        <v>0</v>
      </c>
      <c r="YI39" s="2">
        <f>YI13-YV13</f>
        <v>-2264071.1410312802</v>
      </c>
      <c r="YK39" s="2">
        <f>YK13-YX13</f>
        <v>-14136.200000000199</v>
      </c>
      <c r="YM39" s="2">
        <f t="shared" si="193"/>
        <v>-2278207.3410312803</v>
      </c>
      <c r="YO39" s="18"/>
      <c r="YP39" s="2"/>
      <c r="YQ39" s="2"/>
    </row>
    <row r="40" spans="1:676">
      <c r="A40" s="50" t="s">
        <v>98</v>
      </c>
      <c r="B40" s="2">
        <f t="shared" si="194"/>
        <v>0</v>
      </c>
      <c r="C40" s="2"/>
      <c r="D40" s="2">
        <f t="shared" si="195"/>
        <v>0</v>
      </c>
      <c r="F40" s="2">
        <f t="shared" si="196"/>
        <v>-594930.34470306244</v>
      </c>
      <c r="H40" s="2">
        <f t="shared" si="197"/>
        <v>-10602151.385296937</v>
      </c>
      <c r="J40" s="2">
        <f t="shared" si="198"/>
        <v>0</v>
      </c>
      <c r="L40" s="2">
        <f t="shared" si="199"/>
        <v>0</v>
      </c>
      <c r="N40" s="2">
        <f t="shared" si="200"/>
        <v>-11197081.73</v>
      </c>
      <c r="Q40" s="50" t="s">
        <v>98</v>
      </c>
      <c r="R40" s="2">
        <f t="shared" si="201"/>
        <v>0</v>
      </c>
      <c r="S40" s="2"/>
      <c r="T40" s="2">
        <f t="shared" si="202"/>
        <v>0</v>
      </c>
      <c r="V40" s="2">
        <f t="shared" si="203"/>
        <v>-1067451.9350000042</v>
      </c>
      <c r="W40" s="2"/>
      <c r="X40" s="2">
        <f t="shared" si="204"/>
        <v>-8221923.1949999966</v>
      </c>
      <c r="Z40" s="2">
        <f t="shared" si="205"/>
        <v>0</v>
      </c>
      <c r="AB40" s="2">
        <f t="shared" si="206"/>
        <v>0</v>
      </c>
      <c r="AD40" s="71">
        <f t="shared" si="207"/>
        <v>-9289375.1300000008</v>
      </c>
      <c r="AG40" s="50" t="s">
        <v>98</v>
      </c>
      <c r="AH40" s="2">
        <f t="shared" si="208"/>
        <v>0</v>
      </c>
      <c r="AI40" s="2"/>
      <c r="AJ40" s="2">
        <f t="shared" si="209"/>
        <v>0</v>
      </c>
      <c r="AL40" s="2">
        <f t="shared" si="210"/>
        <v>-958938.64491304476</v>
      </c>
      <c r="AM40" s="2"/>
      <c r="AN40" s="2">
        <f t="shared" si="211"/>
        <v>-5232395.6150869559</v>
      </c>
      <c r="AP40" s="2">
        <f t="shared" si="212"/>
        <v>0</v>
      </c>
      <c r="AR40" s="2">
        <f t="shared" si="213"/>
        <v>0</v>
      </c>
      <c r="AT40" s="71">
        <f t="shared" si="214"/>
        <v>-6191334.2600000007</v>
      </c>
      <c r="AW40" s="50" t="s">
        <v>98</v>
      </c>
      <c r="AX40" s="2">
        <f t="shared" ref="AX40" si="395">AX14</f>
        <v>0</v>
      </c>
      <c r="AY40" s="2"/>
      <c r="AZ40" s="2">
        <f t="shared" ref="AZ40" si="396">AZ14</f>
        <v>0</v>
      </c>
      <c r="BB40" s="2">
        <f t="shared" ref="BB40" si="397">BB14</f>
        <v>-706817.78538388852</v>
      </c>
      <c r="BC40" s="2"/>
      <c r="BD40" s="2">
        <f t="shared" ref="BD40" si="398">BD14</f>
        <v>-4206326.7646161113</v>
      </c>
      <c r="BF40" s="2">
        <f t="shared" ref="BF40" si="399">BF14</f>
        <v>0</v>
      </c>
      <c r="BH40" s="2">
        <f t="shared" ref="BH40" si="400">BH14</f>
        <v>0</v>
      </c>
      <c r="BJ40" s="2">
        <f t="shared" si="309"/>
        <v>-4913144.55</v>
      </c>
      <c r="BM40" s="50" t="s">
        <v>98</v>
      </c>
      <c r="BN40" s="2">
        <f t="shared" si="221"/>
        <v>0</v>
      </c>
      <c r="BO40" s="2"/>
      <c r="BP40" s="2">
        <f t="shared" si="222"/>
        <v>0</v>
      </c>
      <c r="BR40" s="2">
        <f t="shared" si="223"/>
        <v>-930369.62499996275</v>
      </c>
      <c r="BT40" s="2">
        <f t="shared" si="224"/>
        <v>-4976059.175000038</v>
      </c>
      <c r="BV40" s="2">
        <f t="shared" si="225"/>
        <v>0</v>
      </c>
      <c r="BX40" s="2">
        <f t="shared" si="226"/>
        <v>0</v>
      </c>
      <c r="BZ40" s="2">
        <f t="shared" si="310"/>
        <v>-5906428.8000000007</v>
      </c>
      <c r="CC40" s="50" t="s">
        <v>98</v>
      </c>
      <c r="CD40" s="2">
        <f t="shared" si="227"/>
        <v>0</v>
      </c>
      <c r="CE40" s="2"/>
      <c r="CF40" s="2">
        <f t="shared" si="228"/>
        <v>0</v>
      </c>
      <c r="CH40" s="2">
        <f t="shared" si="229"/>
        <v>-928629.550000038</v>
      </c>
      <c r="CI40" s="2"/>
      <c r="CJ40" s="2">
        <f t="shared" si="230"/>
        <v>-7141038.0299999621</v>
      </c>
      <c r="CL40" s="2">
        <f t="shared" si="231"/>
        <v>0</v>
      </c>
      <c r="CN40" s="2">
        <f t="shared" si="232"/>
        <v>0</v>
      </c>
      <c r="CP40" s="2">
        <f t="shared" si="311"/>
        <v>-8069667.5800000001</v>
      </c>
      <c r="CS40" s="50" t="s">
        <v>98</v>
      </c>
      <c r="CT40" s="2">
        <f t="shared" si="233"/>
        <v>0</v>
      </c>
      <c r="CU40" s="2"/>
      <c r="CV40" s="2">
        <f t="shared" si="234"/>
        <v>0</v>
      </c>
      <c r="CX40" s="2">
        <f t="shared" si="235"/>
        <v>-823915.74750000145</v>
      </c>
      <c r="CY40" s="2"/>
      <c r="CZ40" s="2">
        <f t="shared" si="236"/>
        <v>-4377210.9824999981</v>
      </c>
      <c r="DB40" s="2">
        <f t="shared" si="237"/>
        <v>0</v>
      </c>
      <c r="DD40" s="2">
        <f t="shared" si="238"/>
        <v>0</v>
      </c>
      <c r="DF40" s="2">
        <f t="shared" si="312"/>
        <v>-5201126.7299999995</v>
      </c>
      <c r="DI40" s="50" t="s">
        <v>98</v>
      </c>
      <c r="DJ40" s="2">
        <f t="shared" si="385"/>
        <v>0</v>
      </c>
      <c r="DK40" s="2"/>
      <c r="DL40" s="2">
        <f t="shared" si="385"/>
        <v>0</v>
      </c>
      <c r="DN40" s="2">
        <f t="shared" ref="DN40:DP40" si="401">DN14</f>
        <v>-684760.10749999899</v>
      </c>
      <c r="DO40" s="2"/>
      <c r="DP40" s="2">
        <f t="shared" si="401"/>
        <v>-3423846.4425000008</v>
      </c>
      <c r="DR40" s="2">
        <f t="shared" ref="DR40" si="402">DR14</f>
        <v>0</v>
      </c>
      <c r="DT40" s="2">
        <f t="shared" ref="DT40" si="403">DT14</f>
        <v>0</v>
      </c>
      <c r="DV40" s="2">
        <f t="shared" si="319"/>
        <v>-4108606.55</v>
      </c>
      <c r="DY40" s="50" t="s">
        <v>98</v>
      </c>
      <c r="DZ40" s="2">
        <f t="shared" si="320"/>
        <v>0</v>
      </c>
      <c r="EA40" s="2"/>
      <c r="EB40" s="2">
        <f t="shared" si="320"/>
        <v>0</v>
      </c>
      <c r="ED40" s="2">
        <f t="shared" si="320"/>
        <v>-5313877.7699999996</v>
      </c>
      <c r="EF40" s="2">
        <f t="shared" si="320"/>
        <v>0</v>
      </c>
      <c r="EH40" s="2">
        <f t="shared" si="320"/>
        <v>0</v>
      </c>
      <c r="EJ40" s="2">
        <f t="shared" si="321"/>
        <v>-5313877.7699999996</v>
      </c>
      <c r="EM40" s="50" t="s">
        <v>98</v>
      </c>
      <c r="EN40" s="2">
        <f t="shared" si="239"/>
        <v>0</v>
      </c>
      <c r="EO40" s="2"/>
      <c r="EP40" s="2">
        <f t="shared" si="239"/>
        <v>0</v>
      </c>
      <c r="ER40" s="2">
        <f t="shared" si="239"/>
        <v>-4967834.55</v>
      </c>
      <c r="ET40" s="2">
        <f t="shared" si="239"/>
        <v>0</v>
      </c>
      <c r="EV40" s="2">
        <f t="shared" si="239"/>
        <v>526000</v>
      </c>
      <c r="EX40" s="2">
        <f t="shared" si="322"/>
        <v>-4441834.55</v>
      </c>
      <c r="FA40" s="50" t="s">
        <v>98</v>
      </c>
      <c r="FB40" s="2">
        <f t="shared" si="240"/>
        <v>0</v>
      </c>
      <c r="FC40" s="2"/>
      <c r="FD40" s="2">
        <f t="shared" si="240"/>
        <v>0</v>
      </c>
      <c r="FF40" s="2">
        <f t="shared" si="240"/>
        <v>-3976015.52</v>
      </c>
      <c r="FH40" s="2">
        <f t="shared" si="240"/>
        <v>0</v>
      </c>
      <c r="FJ40" s="2">
        <f t="shared" si="240"/>
        <v>0</v>
      </c>
      <c r="FL40" s="2">
        <f t="shared" si="323"/>
        <v>-3976015.52</v>
      </c>
      <c r="FO40" s="50" t="s">
        <v>98</v>
      </c>
      <c r="FP40" s="2">
        <f t="shared" ref="FP40:FR40" si="404">FP14</f>
        <v>0</v>
      </c>
      <c r="FQ40" s="2"/>
      <c r="FR40" s="2">
        <f t="shared" si="404"/>
        <v>0</v>
      </c>
      <c r="FT40" s="2">
        <f t="shared" ref="FT40" si="405">FT14</f>
        <v>-2250155.8400000003</v>
      </c>
      <c r="FV40" s="2">
        <f t="shared" ref="FV40" si="406">FV14</f>
        <v>0</v>
      </c>
      <c r="FX40" s="2">
        <f t="shared" ref="FX40" si="407">FX14</f>
        <v>0</v>
      </c>
      <c r="FZ40" s="2">
        <f t="shared" si="328"/>
        <v>-2250155.8400000003</v>
      </c>
      <c r="GC40" s="50" t="s">
        <v>98</v>
      </c>
      <c r="GD40" s="2">
        <f t="shared" si="329"/>
        <v>0</v>
      </c>
      <c r="GE40" s="2"/>
      <c r="GF40" s="2">
        <f t="shared" si="245"/>
        <v>0</v>
      </c>
      <c r="GH40" s="2">
        <f t="shared" si="246"/>
        <v>-4300179.4099999992</v>
      </c>
      <c r="GJ40" s="2">
        <f t="shared" si="247"/>
        <v>0</v>
      </c>
      <c r="GL40" s="2">
        <f t="shared" si="248"/>
        <v>-18357.489999999998</v>
      </c>
      <c r="GN40" s="2">
        <f t="shared" si="330"/>
        <v>-4318536.8999999994</v>
      </c>
      <c r="GQ40" s="50" t="s">
        <v>98</v>
      </c>
      <c r="GR40" s="2">
        <f t="shared" si="249"/>
        <v>0</v>
      </c>
      <c r="GS40" s="2"/>
      <c r="GT40" s="2">
        <f t="shared" si="250"/>
        <v>0</v>
      </c>
      <c r="GV40" s="2">
        <f t="shared" si="251"/>
        <v>-2166124.4500000007</v>
      </c>
      <c r="GX40" s="2">
        <f t="shared" si="252"/>
        <v>0</v>
      </c>
      <c r="GZ40" s="2">
        <f t="shared" si="253"/>
        <v>31710.369999999995</v>
      </c>
      <c r="HB40" s="2">
        <f t="shared" si="331"/>
        <v>-2134414.0800000005</v>
      </c>
      <c r="HE40" s="50" t="s">
        <v>98</v>
      </c>
      <c r="HF40" s="2">
        <f t="shared" si="254"/>
        <v>0</v>
      </c>
      <c r="HG40" s="2"/>
      <c r="HH40" s="2">
        <f t="shared" si="255"/>
        <v>0</v>
      </c>
      <c r="HJ40" s="2">
        <f t="shared" si="256"/>
        <v>-1983635.7999999993</v>
      </c>
      <c r="HL40" s="2">
        <f t="shared" si="257"/>
        <v>0</v>
      </c>
      <c r="HN40" s="2">
        <f t="shared" si="258"/>
        <v>25370.46</v>
      </c>
      <c r="HP40" s="2">
        <f t="shared" si="332"/>
        <v>-1958265.3399999994</v>
      </c>
      <c r="HS40" s="50" t="s">
        <v>98</v>
      </c>
      <c r="HT40" s="2">
        <f t="shared" ref="HT40" si="408">HT14</f>
        <v>0</v>
      </c>
      <c r="HU40" s="2"/>
      <c r="HV40" s="2">
        <f t="shared" ref="HV40" si="409">HV14</f>
        <v>0</v>
      </c>
      <c r="HX40" s="2">
        <f t="shared" ref="HX40:HX42" si="410">HX14</f>
        <v>-1836818.2000000002</v>
      </c>
      <c r="HZ40" s="2">
        <f t="shared" ref="HZ40:HZ42" si="411">HZ14</f>
        <v>0</v>
      </c>
      <c r="IB40" s="2">
        <f t="shared" ref="IB40:IB42" si="412">IB14</f>
        <v>25370.46</v>
      </c>
      <c r="ID40" s="2">
        <f t="shared" si="338"/>
        <v>-1811447.7400000002</v>
      </c>
      <c r="IG40" s="50" t="s">
        <v>98</v>
      </c>
      <c r="IH40" s="2">
        <f t="shared" si="259"/>
        <v>0</v>
      </c>
      <c r="II40" s="2"/>
      <c r="IJ40" s="2">
        <f t="shared" si="260"/>
        <v>0</v>
      </c>
      <c r="IL40" s="2">
        <f t="shared" si="261"/>
        <v>-1309454.3400000008</v>
      </c>
      <c r="IN40" s="2">
        <f t="shared" si="262"/>
        <v>0</v>
      </c>
      <c r="IP40" s="2">
        <f t="shared" si="263"/>
        <v>25370.459999999992</v>
      </c>
      <c r="IR40" s="2">
        <f t="shared" si="339"/>
        <v>-1284083.8800000008</v>
      </c>
      <c r="IU40" s="50" t="s">
        <v>98</v>
      </c>
      <c r="IV40" s="2">
        <f t="shared" si="264"/>
        <v>0</v>
      </c>
      <c r="IW40" s="2"/>
      <c r="IX40" s="2">
        <f t="shared" si="264"/>
        <v>0</v>
      </c>
      <c r="IZ40" s="2">
        <f t="shared" si="264"/>
        <v>-2363909.94</v>
      </c>
      <c r="JB40" s="2">
        <f t="shared" si="264"/>
        <v>0</v>
      </c>
      <c r="JD40" s="2">
        <f t="shared" si="264"/>
        <v>25370.460000000006</v>
      </c>
      <c r="JF40" s="2">
        <f t="shared" si="340"/>
        <v>-2338539.48</v>
      </c>
      <c r="JI40" s="50" t="s">
        <v>98</v>
      </c>
      <c r="JJ40" s="2">
        <f t="shared" si="265"/>
        <v>0</v>
      </c>
      <c r="JK40" s="2"/>
      <c r="JL40" s="2">
        <f t="shared" si="266"/>
        <v>0</v>
      </c>
      <c r="JN40" s="2">
        <f t="shared" si="267"/>
        <v>-1384655.4799999997</v>
      </c>
      <c r="JP40" s="2">
        <f t="shared" si="268"/>
        <v>0</v>
      </c>
      <c r="JR40" s="2">
        <f t="shared" si="269"/>
        <v>25370.46</v>
      </c>
      <c r="JT40" s="2">
        <f t="shared" si="341"/>
        <v>-1359285.0199999998</v>
      </c>
      <c r="JW40" s="50" t="s">
        <v>98</v>
      </c>
      <c r="JX40" s="2">
        <f t="shared" ref="JX40:JZ40" si="413">JX14</f>
        <v>0</v>
      </c>
      <c r="JY40" s="2"/>
      <c r="JZ40" s="2">
        <f t="shared" si="413"/>
        <v>0</v>
      </c>
      <c r="KB40" s="2">
        <f t="shared" ref="KB40" si="414">KB14</f>
        <v>-1185805.8400000001</v>
      </c>
      <c r="KD40" s="2">
        <f t="shared" ref="KD40" si="415">KD14</f>
        <v>0</v>
      </c>
      <c r="KF40" s="2">
        <f t="shared" ref="KF40" si="416">KF14</f>
        <v>25370.46</v>
      </c>
      <c r="KH40" s="2">
        <f t="shared" si="346"/>
        <v>-1160435.3800000001</v>
      </c>
      <c r="KK40" s="50" t="s">
        <v>98</v>
      </c>
      <c r="KL40" s="2">
        <f t="shared" si="270"/>
        <v>0</v>
      </c>
      <c r="KM40" s="2"/>
      <c r="KN40" s="2">
        <f t="shared" si="271"/>
        <v>0</v>
      </c>
      <c r="KP40" s="2">
        <f t="shared" si="272"/>
        <v>-1117263.1599999992</v>
      </c>
      <c r="KR40" s="2">
        <f t="shared" si="273"/>
        <v>0</v>
      </c>
      <c r="KT40" s="2">
        <f t="shared" si="274"/>
        <v>25370.459999999992</v>
      </c>
      <c r="KV40" s="2">
        <f t="shared" si="347"/>
        <v>-1091892.6999999993</v>
      </c>
      <c r="KY40" s="50" t="s">
        <v>98</v>
      </c>
      <c r="KZ40" s="2">
        <f t="shared" si="275"/>
        <v>0</v>
      </c>
      <c r="LA40" s="2"/>
      <c r="LB40" s="2">
        <f t="shared" si="276"/>
        <v>0</v>
      </c>
      <c r="LD40" s="2">
        <f t="shared" si="277"/>
        <v>-1439363.2000000002</v>
      </c>
      <c r="LF40" s="2">
        <f t="shared" si="278"/>
        <v>0</v>
      </c>
      <c r="LH40" s="2">
        <f t="shared" si="279"/>
        <v>25370.460000000006</v>
      </c>
      <c r="LJ40" s="2">
        <f t="shared" si="280"/>
        <v>-1413992.7400000002</v>
      </c>
      <c r="LM40" s="50" t="s">
        <v>98</v>
      </c>
      <c r="LN40" s="2">
        <f t="shared" si="348"/>
        <v>0</v>
      </c>
      <c r="LO40" s="2"/>
      <c r="LP40" s="2">
        <f t="shared" si="349"/>
        <v>0</v>
      </c>
      <c r="LR40" s="2">
        <f t="shared" si="350"/>
        <v>-1349006.7100000002</v>
      </c>
      <c r="LT40" s="2">
        <f t="shared" si="351"/>
        <v>0</v>
      </c>
      <c r="LV40" s="2">
        <f t="shared" si="281"/>
        <v>25370.46</v>
      </c>
      <c r="LX40" s="2">
        <f t="shared" si="282"/>
        <v>-1323636.2500000002</v>
      </c>
      <c r="LZ40" s="50" t="s">
        <v>98</v>
      </c>
      <c r="MA40" s="2">
        <f t="shared" si="283"/>
        <v>0</v>
      </c>
      <c r="MB40" s="2"/>
      <c r="MC40" s="2">
        <f t="shared" si="284"/>
        <v>0</v>
      </c>
      <c r="ME40" s="2">
        <f t="shared" si="285"/>
        <v>-1415913.57</v>
      </c>
      <c r="MF40" s="61"/>
      <c r="MG40" s="2">
        <f t="shared" si="286"/>
        <v>0</v>
      </c>
      <c r="MI40" s="2">
        <f t="shared" si="287"/>
        <v>25370.46</v>
      </c>
      <c r="MK40" s="2">
        <f t="shared" si="352"/>
        <v>-1390543.11</v>
      </c>
      <c r="MM40" s="50" t="s">
        <v>98</v>
      </c>
      <c r="MN40" s="2">
        <f t="shared" si="288"/>
        <v>0</v>
      </c>
      <c r="MO40" s="2"/>
      <c r="MP40" s="2">
        <f t="shared" si="288"/>
        <v>0</v>
      </c>
      <c r="MR40" s="2">
        <f t="shared" si="288"/>
        <v>-1408204.4899999993</v>
      </c>
      <c r="MT40" s="2">
        <f t="shared" si="288"/>
        <v>0</v>
      </c>
      <c r="MV40" s="2">
        <f t="shared" si="288"/>
        <v>26340</v>
      </c>
      <c r="MX40" s="2">
        <f t="shared" si="353"/>
        <v>-1381864.4899999993</v>
      </c>
      <c r="NA40" s="50" t="s">
        <v>98</v>
      </c>
      <c r="NB40" s="2">
        <f t="shared" si="289"/>
        <v>0</v>
      </c>
      <c r="NC40" s="2"/>
      <c r="ND40" s="2">
        <f t="shared" si="290"/>
        <v>0</v>
      </c>
      <c r="NF40" s="2">
        <f t="shared" si="291"/>
        <v>-1224485.9100000001</v>
      </c>
      <c r="NH40" s="2">
        <f t="shared" si="292"/>
        <v>0</v>
      </c>
      <c r="NJ40" s="2">
        <f t="shared" si="293"/>
        <v>26340</v>
      </c>
      <c r="NL40" s="2">
        <f t="shared" si="294"/>
        <v>-1198145.9100000001</v>
      </c>
      <c r="NO40" s="50" t="s">
        <v>98</v>
      </c>
      <c r="NP40" s="2">
        <f t="shared" si="354"/>
        <v>0</v>
      </c>
      <c r="NQ40" s="2"/>
      <c r="NR40" s="2">
        <f t="shared" si="355"/>
        <v>0</v>
      </c>
      <c r="NT40" s="2">
        <f t="shared" si="356"/>
        <v>-2986587.02</v>
      </c>
      <c r="NV40" s="2">
        <f t="shared" si="295"/>
        <v>0</v>
      </c>
      <c r="NX40" s="2">
        <f t="shared" si="295"/>
        <v>26340</v>
      </c>
      <c r="NZ40" s="2">
        <f t="shared" si="296"/>
        <v>-2960247.02</v>
      </c>
      <c r="OB40" s="50" t="s">
        <v>98</v>
      </c>
      <c r="OC40" s="2"/>
      <c r="OD40" s="2"/>
      <c r="OG40" s="2">
        <f t="shared" si="297"/>
        <v>-1543178.23</v>
      </c>
      <c r="OH40" s="61"/>
      <c r="OI40" s="2">
        <f t="shared" si="298"/>
        <v>0</v>
      </c>
      <c r="OK40" s="2">
        <f t="shared" si="299"/>
        <v>26340</v>
      </c>
      <c r="OM40" s="2">
        <f t="shared" si="300"/>
        <v>-1516838.23</v>
      </c>
      <c r="OO40" s="50" t="s">
        <v>98</v>
      </c>
      <c r="OP40" s="2">
        <f t="shared" si="393"/>
        <v>0</v>
      </c>
      <c r="OQ40" s="2"/>
      <c r="OR40" s="2">
        <f t="shared" si="394"/>
        <v>0</v>
      </c>
      <c r="OT40" s="2">
        <v>-1521269.6700000002</v>
      </c>
      <c r="OV40" s="2">
        <v>0</v>
      </c>
      <c r="OX40" s="2">
        <v>26340</v>
      </c>
      <c r="OZ40" s="2">
        <f t="shared" si="175"/>
        <v>-1494929.6700000002</v>
      </c>
      <c r="PB40" s="18"/>
      <c r="PC40" s="2"/>
      <c r="PD40" s="2"/>
      <c r="PG40" s="39"/>
      <c r="PO40" s="51"/>
      <c r="PP40" s="2"/>
      <c r="PQ40" s="2"/>
      <c r="PT40" s="39"/>
      <c r="QB40" s="18"/>
      <c r="QC40" s="2"/>
      <c r="QD40" s="2"/>
      <c r="QG40" s="39"/>
      <c r="QO40" s="18"/>
      <c r="QP40" s="2"/>
      <c r="QQ40" s="2"/>
      <c r="RB40" s="18"/>
      <c r="RC40" s="2"/>
      <c r="RD40" s="2"/>
      <c r="RO40" s="18"/>
      <c r="RP40" s="2"/>
      <c r="RQ40" s="2"/>
      <c r="SB40" s="18"/>
      <c r="SC40" s="2"/>
      <c r="SD40" s="2"/>
      <c r="SO40" s="18"/>
      <c r="SP40" s="2"/>
      <c r="SQ40" s="2"/>
      <c r="TB40" s="18"/>
      <c r="TC40" s="2"/>
      <c r="TD40" s="2"/>
      <c r="TO40" s="18"/>
      <c r="TP40" s="2"/>
      <c r="TQ40" s="2"/>
      <c r="UB40" s="18"/>
      <c r="UC40" s="2"/>
      <c r="UD40" s="2"/>
      <c r="UO40" s="18"/>
      <c r="UP40" s="2"/>
      <c r="UQ40" s="2"/>
      <c r="VB40" s="18"/>
      <c r="VC40" s="2"/>
      <c r="VD40" s="2"/>
      <c r="VO40" s="18"/>
      <c r="VP40" s="2"/>
      <c r="VQ40" s="2"/>
      <c r="WB40" s="18"/>
      <c r="WC40" s="2"/>
      <c r="WD40" s="2"/>
      <c r="WO40" s="18"/>
      <c r="WP40" s="2"/>
      <c r="WQ40" s="2"/>
      <c r="XB40" s="18"/>
      <c r="XC40" s="2"/>
      <c r="XD40" s="2"/>
      <c r="XO40" s="18"/>
      <c r="XP40" s="2"/>
      <c r="XQ40" s="2"/>
      <c r="YB40" s="18"/>
      <c r="YC40" s="2"/>
      <c r="YD40" s="2"/>
      <c r="YO40" s="18"/>
      <c r="YP40" s="2"/>
      <c r="YQ40" s="2"/>
    </row>
    <row r="41" spans="1:676">
      <c r="A41" s="51" t="s">
        <v>91</v>
      </c>
      <c r="B41" s="2">
        <f t="shared" si="194"/>
        <v>0</v>
      </c>
      <c r="C41" s="2"/>
      <c r="D41" s="2">
        <f t="shared" si="195"/>
        <v>0</v>
      </c>
      <c r="F41" s="2">
        <f t="shared" si="196"/>
        <v>0</v>
      </c>
      <c r="H41" s="2">
        <f t="shared" si="197"/>
        <v>0</v>
      </c>
      <c r="J41" s="2">
        <f t="shared" si="198"/>
        <v>0</v>
      </c>
      <c r="L41" s="2">
        <f t="shared" si="199"/>
        <v>0</v>
      </c>
      <c r="N41" s="2">
        <f t="shared" si="200"/>
        <v>0</v>
      </c>
      <c r="Q41" s="51" t="s">
        <v>91</v>
      </c>
      <c r="R41" s="2">
        <f t="shared" si="201"/>
        <v>0</v>
      </c>
      <c r="S41" s="2"/>
      <c r="T41" s="2">
        <f t="shared" si="202"/>
        <v>0</v>
      </c>
      <c r="V41" s="2">
        <f t="shared" si="203"/>
        <v>0</v>
      </c>
      <c r="W41" s="2"/>
      <c r="X41" s="2">
        <f t="shared" si="204"/>
        <v>0</v>
      </c>
      <c r="Z41" s="2">
        <f t="shared" si="205"/>
        <v>0</v>
      </c>
      <c r="AB41" s="2">
        <f t="shared" si="206"/>
        <v>0</v>
      </c>
      <c r="AD41" s="71">
        <f t="shared" si="207"/>
        <v>0</v>
      </c>
      <c r="AG41" s="51" t="s">
        <v>91</v>
      </c>
      <c r="AH41" s="2">
        <f t="shared" si="208"/>
        <v>0</v>
      </c>
      <c r="AI41" s="2"/>
      <c r="AJ41" s="2">
        <f t="shared" si="209"/>
        <v>0</v>
      </c>
      <c r="AL41" s="2">
        <f t="shared" si="210"/>
        <v>0</v>
      </c>
      <c r="AM41" s="2"/>
      <c r="AN41" s="2">
        <f t="shared" si="211"/>
        <v>0</v>
      </c>
      <c r="AP41" s="2">
        <f t="shared" si="212"/>
        <v>0</v>
      </c>
      <c r="AR41" s="2">
        <f t="shared" si="213"/>
        <v>0</v>
      </c>
      <c r="AT41" s="71">
        <f t="shared" si="214"/>
        <v>0</v>
      </c>
      <c r="AW41" s="51" t="s">
        <v>91</v>
      </c>
      <c r="AX41" s="2">
        <f t="shared" ref="AX41" si="417">AX15</f>
        <v>0</v>
      </c>
      <c r="AY41" s="2"/>
      <c r="AZ41" s="2">
        <f t="shared" ref="AZ41" si="418">AZ15</f>
        <v>0</v>
      </c>
      <c r="BB41" s="2">
        <f t="shared" ref="BB41" si="419">BB15</f>
        <v>0</v>
      </c>
      <c r="BC41" s="2"/>
      <c r="BD41" s="2">
        <f t="shared" ref="BD41" si="420">BD15</f>
        <v>0</v>
      </c>
      <c r="BF41" s="2">
        <f t="shared" ref="BF41" si="421">BF15</f>
        <v>0</v>
      </c>
      <c r="BH41" s="2">
        <f t="shared" ref="BH41" si="422">BH15</f>
        <v>0</v>
      </c>
      <c r="BJ41" s="2">
        <f t="shared" si="309"/>
        <v>0</v>
      </c>
      <c r="BM41" s="51" t="s">
        <v>91</v>
      </c>
      <c r="BN41" s="2">
        <f t="shared" si="221"/>
        <v>0</v>
      </c>
      <c r="BO41" s="2"/>
      <c r="BP41" s="2">
        <f t="shared" si="222"/>
        <v>0</v>
      </c>
      <c r="BR41" s="2">
        <f t="shared" si="223"/>
        <v>0</v>
      </c>
      <c r="BT41" s="2">
        <f t="shared" si="224"/>
        <v>0</v>
      </c>
      <c r="BV41" s="2">
        <f t="shared" si="225"/>
        <v>0</v>
      </c>
      <c r="BX41" s="2">
        <f t="shared" si="226"/>
        <v>0</v>
      </c>
      <c r="BZ41" s="2">
        <f t="shared" si="310"/>
        <v>0</v>
      </c>
      <c r="CC41" s="51" t="s">
        <v>91</v>
      </c>
      <c r="CD41" s="2">
        <f t="shared" si="227"/>
        <v>0</v>
      </c>
      <c r="CE41" s="2"/>
      <c r="CF41" s="2">
        <f t="shared" si="228"/>
        <v>0</v>
      </c>
      <c r="CH41" s="2">
        <f t="shared" si="229"/>
        <v>0</v>
      </c>
      <c r="CI41" s="2"/>
      <c r="CJ41" s="2">
        <f t="shared" si="230"/>
        <v>0</v>
      </c>
      <c r="CL41" s="2">
        <f t="shared" si="231"/>
        <v>0</v>
      </c>
      <c r="CN41" s="2">
        <f t="shared" si="232"/>
        <v>0</v>
      </c>
      <c r="CP41" s="2">
        <f t="shared" si="311"/>
        <v>0</v>
      </c>
      <c r="CS41" s="51" t="s">
        <v>91</v>
      </c>
      <c r="CT41" s="2">
        <f t="shared" si="233"/>
        <v>0</v>
      </c>
      <c r="CU41" s="2"/>
      <c r="CV41" s="2">
        <f t="shared" si="234"/>
        <v>0</v>
      </c>
      <c r="CX41" s="2">
        <f t="shared" si="235"/>
        <v>0</v>
      </c>
      <c r="CY41" s="2"/>
      <c r="CZ41" s="2">
        <f t="shared" si="236"/>
        <v>0</v>
      </c>
      <c r="DB41" s="2">
        <f t="shared" si="237"/>
        <v>0</v>
      </c>
      <c r="DD41" s="2">
        <f t="shared" si="238"/>
        <v>0</v>
      </c>
      <c r="DF41" s="2">
        <f t="shared" si="312"/>
        <v>0</v>
      </c>
      <c r="DI41" s="51" t="s">
        <v>91</v>
      </c>
      <c r="DJ41" s="2">
        <f t="shared" si="385"/>
        <v>0</v>
      </c>
      <c r="DK41" s="2"/>
      <c r="DL41" s="2">
        <f t="shared" si="385"/>
        <v>0</v>
      </c>
      <c r="DN41" s="2">
        <f t="shared" ref="DN41:DP41" si="423">DN15</f>
        <v>0</v>
      </c>
      <c r="DO41" s="2"/>
      <c r="DP41" s="2">
        <f t="shared" si="423"/>
        <v>0</v>
      </c>
      <c r="DR41" s="2">
        <f t="shared" ref="DR41" si="424">DR15</f>
        <v>0</v>
      </c>
      <c r="DT41" s="2">
        <f t="shared" ref="DT41" si="425">DT15</f>
        <v>0</v>
      </c>
      <c r="DV41" s="2">
        <f t="shared" si="319"/>
        <v>0</v>
      </c>
      <c r="DY41" s="51" t="s">
        <v>91</v>
      </c>
      <c r="DZ41" s="2">
        <f t="shared" si="320"/>
        <v>0</v>
      </c>
      <c r="EA41" s="2"/>
      <c r="EB41" s="2">
        <f t="shared" si="320"/>
        <v>0</v>
      </c>
      <c r="ED41" s="2">
        <f t="shared" si="320"/>
        <v>0</v>
      </c>
      <c r="EF41" s="2">
        <f t="shared" si="320"/>
        <v>0</v>
      </c>
      <c r="EH41" s="2">
        <f t="shared" si="320"/>
        <v>0</v>
      </c>
      <c r="EJ41" s="2">
        <f t="shared" si="321"/>
        <v>0</v>
      </c>
      <c r="EM41" s="51" t="s">
        <v>91</v>
      </c>
      <c r="EN41" s="2">
        <f t="shared" si="239"/>
        <v>0</v>
      </c>
      <c r="EO41" s="2"/>
      <c r="EP41" s="2">
        <f t="shared" si="239"/>
        <v>0</v>
      </c>
      <c r="ER41" s="2">
        <f t="shared" si="239"/>
        <v>0</v>
      </c>
      <c r="ET41" s="2">
        <f t="shared" si="239"/>
        <v>0</v>
      </c>
      <c r="EV41" s="2">
        <f t="shared" si="239"/>
        <v>0</v>
      </c>
      <c r="EX41" s="2">
        <f t="shared" si="322"/>
        <v>0</v>
      </c>
      <c r="FA41" s="51" t="s">
        <v>91</v>
      </c>
      <c r="FB41" s="2">
        <f t="shared" si="240"/>
        <v>0</v>
      </c>
      <c r="FC41" s="2"/>
      <c r="FD41" s="2">
        <f t="shared" si="240"/>
        <v>0</v>
      </c>
      <c r="FF41" s="2">
        <f t="shared" si="240"/>
        <v>0</v>
      </c>
      <c r="FH41" s="2">
        <f t="shared" si="240"/>
        <v>0</v>
      </c>
      <c r="FJ41" s="2">
        <f t="shared" si="240"/>
        <v>0</v>
      </c>
      <c r="FL41" s="2">
        <f t="shared" si="323"/>
        <v>0</v>
      </c>
      <c r="FO41" s="51" t="s">
        <v>91</v>
      </c>
      <c r="FP41" s="2">
        <f t="shared" ref="FP41:FR41" si="426">FP15</f>
        <v>0</v>
      </c>
      <c r="FQ41" s="2"/>
      <c r="FR41" s="2">
        <f t="shared" si="426"/>
        <v>0</v>
      </c>
      <c r="FT41" s="2">
        <f t="shared" ref="FT41" si="427">FT15</f>
        <v>0</v>
      </c>
      <c r="FV41" s="2">
        <f t="shared" ref="FV41" si="428">FV15</f>
        <v>0</v>
      </c>
      <c r="FX41" s="2">
        <f t="shared" ref="FX41" si="429">FX15</f>
        <v>0</v>
      </c>
      <c r="FZ41" s="2">
        <f t="shared" si="328"/>
        <v>0</v>
      </c>
      <c r="GC41" s="51" t="s">
        <v>91</v>
      </c>
      <c r="GD41" s="2">
        <f t="shared" si="329"/>
        <v>0</v>
      </c>
      <c r="GE41" s="2"/>
      <c r="GF41" s="2">
        <f t="shared" si="245"/>
        <v>0</v>
      </c>
      <c r="GH41" s="2">
        <f t="shared" si="246"/>
        <v>0</v>
      </c>
      <c r="GJ41" s="2">
        <f t="shared" si="247"/>
        <v>0</v>
      </c>
      <c r="GL41" s="2">
        <f t="shared" si="248"/>
        <v>0</v>
      </c>
      <c r="GN41" s="2">
        <f t="shared" si="330"/>
        <v>0</v>
      </c>
      <c r="GQ41" s="51" t="s">
        <v>91</v>
      </c>
      <c r="GR41" s="2">
        <f t="shared" si="249"/>
        <v>0</v>
      </c>
      <c r="GS41" s="2"/>
      <c r="GT41" s="2">
        <f t="shared" si="250"/>
        <v>0</v>
      </c>
      <c r="GV41" s="2">
        <f t="shared" si="251"/>
        <v>0</v>
      </c>
      <c r="GX41" s="2">
        <f t="shared" si="252"/>
        <v>0</v>
      </c>
      <c r="GZ41" s="2">
        <f t="shared" si="253"/>
        <v>0</v>
      </c>
      <c r="HB41" s="2">
        <f t="shared" si="331"/>
        <v>0</v>
      </c>
      <c r="HE41" s="51" t="s">
        <v>91</v>
      </c>
      <c r="HF41" s="2">
        <f t="shared" si="254"/>
        <v>0</v>
      </c>
      <c r="HG41" s="2"/>
      <c r="HH41" s="2">
        <f t="shared" si="255"/>
        <v>0</v>
      </c>
      <c r="HJ41" s="2">
        <f t="shared" si="256"/>
        <v>0</v>
      </c>
      <c r="HL41" s="2">
        <f t="shared" si="257"/>
        <v>5874205.7084021242</v>
      </c>
      <c r="HN41" s="2">
        <f t="shared" si="258"/>
        <v>0</v>
      </c>
      <c r="HP41" s="2">
        <f t="shared" si="332"/>
        <v>5874205.7084021242</v>
      </c>
      <c r="HS41" s="51" t="s">
        <v>91</v>
      </c>
      <c r="HT41" s="2">
        <f t="shared" ref="HT41" si="430">HT15</f>
        <v>0</v>
      </c>
      <c r="HU41" s="2"/>
      <c r="HV41" s="2">
        <f t="shared" ref="HV41" si="431">HV15</f>
        <v>0</v>
      </c>
      <c r="HX41" s="2">
        <f t="shared" si="410"/>
        <v>0</v>
      </c>
      <c r="HZ41" s="2">
        <f t="shared" si="411"/>
        <v>0</v>
      </c>
      <c r="IB41" s="2">
        <f t="shared" si="412"/>
        <v>0</v>
      </c>
      <c r="ID41" s="2">
        <f t="shared" si="338"/>
        <v>0</v>
      </c>
      <c r="IG41" s="51" t="s">
        <v>91</v>
      </c>
      <c r="IH41" s="2">
        <f t="shared" si="259"/>
        <v>0</v>
      </c>
      <c r="II41" s="2"/>
      <c r="IJ41" s="2">
        <f t="shared" si="260"/>
        <v>0</v>
      </c>
      <c r="IL41" s="2">
        <f t="shared" si="261"/>
        <v>0</v>
      </c>
      <c r="IN41" s="2">
        <f t="shared" si="262"/>
        <v>0</v>
      </c>
      <c r="IP41" s="2">
        <f t="shared" si="263"/>
        <v>0</v>
      </c>
      <c r="IR41" s="2">
        <f t="shared" si="339"/>
        <v>0</v>
      </c>
      <c r="IU41" s="51" t="s">
        <v>91</v>
      </c>
      <c r="IV41" s="2">
        <f t="shared" si="264"/>
        <v>0</v>
      </c>
      <c r="IW41" s="2"/>
      <c r="IX41" s="2">
        <f t="shared" si="264"/>
        <v>0</v>
      </c>
      <c r="IZ41" s="2">
        <f t="shared" si="264"/>
        <v>0</v>
      </c>
      <c r="JB41" s="2">
        <f t="shared" si="264"/>
        <v>0</v>
      </c>
      <c r="JD41" s="2">
        <f t="shared" si="264"/>
        <v>0</v>
      </c>
      <c r="JF41" s="2">
        <f t="shared" si="340"/>
        <v>0</v>
      </c>
      <c r="JI41" s="51" t="s">
        <v>91</v>
      </c>
      <c r="JJ41" s="2">
        <f t="shared" si="265"/>
        <v>0</v>
      </c>
      <c r="JK41" s="2"/>
      <c r="JL41" s="2">
        <f t="shared" si="266"/>
        <v>0</v>
      </c>
      <c r="JN41" s="2">
        <f t="shared" si="267"/>
        <v>0</v>
      </c>
      <c r="JP41" s="2">
        <f t="shared" si="268"/>
        <v>0</v>
      </c>
      <c r="JR41" s="2">
        <f t="shared" si="269"/>
        <v>0</v>
      </c>
      <c r="JT41" s="2">
        <f t="shared" si="341"/>
        <v>0</v>
      </c>
      <c r="JW41" s="51" t="s">
        <v>91</v>
      </c>
      <c r="JX41" s="2">
        <f t="shared" ref="JX41:JZ42" si="432">JX15</f>
        <v>0</v>
      </c>
      <c r="JY41" s="2"/>
      <c r="JZ41" s="2">
        <f t="shared" si="432"/>
        <v>0</v>
      </c>
      <c r="KB41" s="2">
        <f t="shared" ref="KB41" si="433">KB15</f>
        <v>0</v>
      </c>
      <c r="KD41" s="2">
        <f t="shared" ref="KD41" si="434">KD15</f>
        <v>0</v>
      </c>
      <c r="KF41" s="2">
        <f t="shared" ref="KF41" si="435">KF15</f>
        <v>0</v>
      </c>
      <c r="KH41" s="2">
        <f t="shared" si="346"/>
        <v>0</v>
      </c>
      <c r="KK41" s="51" t="s">
        <v>91</v>
      </c>
      <c r="KL41" s="2">
        <f t="shared" si="270"/>
        <v>0</v>
      </c>
      <c r="KM41" s="2"/>
      <c r="KN41" s="2">
        <f t="shared" si="271"/>
        <v>0</v>
      </c>
      <c r="KP41" s="2">
        <f t="shared" si="272"/>
        <v>0</v>
      </c>
      <c r="KR41" s="2">
        <f t="shared" si="273"/>
        <v>0</v>
      </c>
      <c r="KT41" s="2">
        <f t="shared" si="274"/>
        <v>0</v>
      </c>
      <c r="KV41" s="2">
        <f t="shared" si="347"/>
        <v>0</v>
      </c>
      <c r="KY41" s="51" t="s">
        <v>91</v>
      </c>
      <c r="KZ41" s="2">
        <v>0</v>
      </c>
      <c r="LA41" s="2"/>
      <c r="LB41" s="2">
        <v>0</v>
      </c>
      <c r="LD41" s="2">
        <v>0</v>
      </c>
      <c r="LF41" s="2">
        <v>0</v>
      </c>
      <c r="LH41" s="2">
        <v>0</v>
      </c>
      <c r="LJ41" s="2">
        <f t="shared" si="280"/>
        <v>0</v>
      </c>
      <c r="LM41" s="51" t="s">
        <v>91</v>
      </c>
      <c r="LN41" s="2">
        <f t="shared" si="348"/>
        <v>0</v>
      </c>
      <c r="LO41" s="2"/>
      <c r="LP41" s="2">
        <f t="shared" si="349"/>
        <v>0</v>
      </c>
      <c r="LR41" s="2">
        <f t="shared" si="350"/>
        <v>0</v>
      </c>
      <c r="LT41" s="2">
        <f t="shared" si="351"/>
        <v>0</v>
      </c>
      <c r="LV41" s="2">
        <f t="shared" si="281"/>
        <v>0</v>
      </c>
      <c r="LX41" s="2">
        <f t="shared" si="282"/>
        <v>0</v>
      </c>
      <c r="LZ41" s="51" t="s">
        <v>91</v>
      </c>
      <c r="MA41" s="2">
        <f t="shared" si="283"/>
        <v>0</v>
      </c>
      <c r="MB41" s="2"/>
      <c r="MC41" s="2">
        <f t="shared" si="284"/>
        <v>0</v>
      </c>
      <c r="ME41" s="2">
        <f t="shared" si="285"/>
        <v>0</v>
      </c>
      <c r="MF41" s="61"/>
      <c r="MG41" s="2">
        <f t="shared" si="286"/>
        <v>0</v>
      </c>
      <c r="MI41" s="2">
        <f t="shared" si="287"/>
        <v>0</v>
      </c>
      <c r="MK41" s="2">
        <f t="shared" si="352"/>
        <v>0</v>
      </c>
      <c r="MM41" s="51" t="s">
        <v>91</v>
      </c>
      <c r="MN41" s="2">
        <f t="shared" si="288"/>
        <v>0</v>
      </c>
      <c r="MO41" s="2"/>
      <c r="MP41" s="2">
        <f t="shared" si="288"/>
        <v>0</v>
      </c>
      <c r="MR41" s="2">
        <f t="shared" si="288"/>
        <v>0</v>
      </c>
      <c r="MT41" s="2">
        <f t="shared" si="288"/>
        <v>0</v>
      </c>
      <c r="MV41" s="2">
        <f t="shared" si="288"/>
        <v>0</v>
      </c>
      <c r="MX41" s="2">
        <f t="shared" si="353"/>
        <v>0</v>
      </c>
      <c r="NA41" s="51" t="s">
        <v>91</v>
      </c>
      <c r="NB41" s="2">
        <v>0</v>
      </c>
      <c r="NC41" s="2"/>
      <c r="ND41" s="2">
        <v>0</v>
      </c>
      <c r="NF41" s="2">
        <v>0</v>
      </c>
      <c r="NH41" s="2">
        <v>0</v>
      </c>
      <c r="NJ41" s="2">
        <v>0</v>
      </c>
      <c r="NL41" s="2">
        <f t="shared" si="294"/>
        <v>0</v>
      </c>
      <c r="NO41" s="51" t="s">
        <v>91</v>
      </c>
      <c r="NP41" s="2">
        <f t="shared" si="354"/>
        <v>0</v>
      </c>
      <c r="NQ41" s="2"/>
      <c r="NR41" s="2">
        <f t="shared" si="355"/>
        <v>0</v>
      </c>
      <c r="NT41" s="2">
        <f t="shared" si="356"/>
        <v>0</v>
      </c>
      <c r="NV41" s="2">
        <f t="shared" si="295"/>
        <v>0</v>
      </c>
      <c r="NX41" s="2">
        <f t="shared" si="295"/>
        <v>0</v>
      </c>
      <c r="NZ41" s="2">
        <f t="shared" si="296"/>
        <v>0</v>
      </c>
      <c r="OB41" s="51" t="s">
        <v>91</v>
      </c>
      <c r="OC41" s="2">
        <f>OC15</f>
        <v>0</v>
      </c>
      <c r="OD41" s="2"/>
      <c r="OE41" s="2">
        <f>OE15</f>
        <v>0</v>
      </c>
      <c r="OG41" s="2">
        <f t="shared" si="297"/>
        <v>0</v>
      </c>
      <c r="OH41" s="61"/>
      <c r="OI41" s="2">
        <f t="shared" si="298"/>
        <v>0</v>
      </c>
      <c r="OK41" s="2">
        <f t="shared" si="299"/>
        <v>0</v>
      </c>
      <c r="OM41" s="2">
        <f t="shared" si="300"/>
        <v>0</v>
      </c>
      <c r="OO41" s="18" t="s">
        <v>91</v>
      </c>
      <c r="OP41" s="2">
        <f t="shared" si="393"/>
        <v>0</v>
      </c>
      <c r="OQ41" s="2"/>
      <c r="OR41" s="2">
        <f t="shared" si="394"/>
        <v>0</v>
      </c>
      <c r="OT41" s="2">
        <v>0</v>
      </c>
      <c r="OV41" s="2">
        <v>-772524.82000000053</v>
      </c>
      <c r="OW41" s="2">
        <f>OW15-PJ15</f>
        <v>0</v>
      </c>
      <c r="OX41" s="2">
        <v>0</v>
      </c>
      <c r="OZ41" s="2">
        <f t="shared" si="175"/>
        <v>-772524.82000000053</v>
      </c>
      <c r="PB41" s="18" t="s">
        <v>91</v>
      </c>
      <c r="PC41" s="2"/>
      <c r="PD41" s="2"/>
      <c r="PG41" s="39"/>
      <c r="PI41" s="2">
        <f t="shared" ref="PI41:PI42" si="436">PI15-PV15</f>
        <v>2858656.6311000008</v>
      </c>
      <c r="PK41" s="2">
        <f t="shared" ref="PK41:PK42" si="437">PK15-PX15</f>
        <v>0</v>
      </c>
      <c r="PM41" s="2">
        <f t="shared" si="176"/>
        <v>2858656.6311000008</v>
      </c>
      <c r="PO41" s="51" t="s">
        <v>91</v>
      </c>
      <c r="PP41" s="2"/>
      <c r="PQ41" s="2"/>
      <c r="PT41" s="39"/>
      <c r="PV41" s="2">
        <f>PV15</f>
        <v>7318045.3499999996</v>
      </c>
      <c r="PZ41" s="2">
        <f t="shared" si="302"/>
        <v>7318045.3499999996</v>
      </c>
      <c r="QB41" s="18"/>
      <c r="QC41" s="2"/>
      <c r="QD41" s="2"/>
      <c r="QG41" s="39"/>
      <c r="QO41" s="18"/>
      <c r="QP41" s="2"/>
      <c r="QQ41" s="2"/>
      <c r="RB41" s="18"/>
      <c r="RC41" s="2"/>
      <c r="RD41" s="2"/>
      <c r="RO41" s="18"/>
      <c r="RP41" s="2"/>
      <c r="RQ41" s="2"/>
      <c r="SB41" s="18"/>
      <c r="SC41" s="2"/>
      <c r="SD41" s="2"/>
      <c r="SO41" s="18"/>
      <c r="SP41" s="2"/>
      <c r="SQ41" s="2"/>
      <c r="TB41" s="18"/>
      <c r="TC41" s="2"/>
      <c r="TD41" s="2"/>
      <c r="TO41" s="18"/>
      <c r="TP41" s="2"/>
      <c r="TQ41" s="2"/>
      <c r="UB41" s="18"/>
      <c r="UC41" s="2"/>
      <c r="UD41" s="2"/>
      <c r="UO41" s="18"/>
      <c r="UP41" s="2"/>
      <c r="UQ41" s="2"/>
      <c r="VB41" s="18"/>
      <c r="VC41" s="2"/>
      <c r="VD41" s="2"/>
      <c r="VO41" s="18"/>
      <c r="VP41" s="2"/>
      <c r="VQ41" s="2"/>
      <c r="WB41" s="18"/>
      <c r="WC41" s="2"/>
      <c r="WD41" s="2"/>
      <c r="WO41" s="18"/>
      <c r="WP41" s="2"/>
      <c r="WQ41" s="2"/>
      <c r="XB41" s="18"/>
      <c r="XC41" s="2"/>
      <c r="XD41" s="2"/>
      <c r="XO41" s="18"/>
      <c r="XP41" s="2"/>
      <c r="XQ41" s="2"/>
      <c r="YB41" s="18"/>
      <c r="YC41" s="2"/>
      <c r="YD41" s="2"/>
      <c r="YO41" s="18"/>
      <c r="YP41" s="2"/>
      <c r="YQ41" s="2"/>
    </row>
    <row r="42" spans="1:676">
      <c r="A42" s="18" t="s">
        <v>18</v>
      </c>
      <c r="B42" s="2">
        <f t="shared" si="194"/>
        <v>0</v>
      </c>
      <c r="C42" s="2"/>
      <c r="D42" s="2">
        <f t="shared" si="195"/>
        <v>0</v>
      </c>
      <c r="F42" s="2">
        <f t="shared" si="196"/>
        <v>0</v>
      </c>
      <c r="H42" s="2">
        <f>H16-X16</f>
        <v>8476.9599999999919</v>
      </c>
      <c r="J42" s="2">
        <f t="shared" si="198"/>
        <v>-923116.28638666659</v>
      </c>
      <c r="L42" s="2">
        <f t="shared" si="199"/>
        <v>-97725.240026666666</v>
      </c>
      <c r="N42" s="2">
        <f t="shared" si="200"/>
        <v>-1012364.5664133333</v>
      </c>
      <c r="Q42" s="18" t="s">
        <v>18</v>
      </c>
      <c r="R42" s="2">
        <f t="shared" si="201"/>
        <v>0</v>
      </c>
      <c r="S42" s="2"/>
      <c r="T42" s="2">
        <f t="shared" si="202"/>
        <v>0</v>
      </c>
      <c r="V42" s="2">
        <f t="shared" si="203"/>
        <v>0</v>
      </c>
      <c r="W42" s="2"/>
      <c r="X42" s="2">
        <f>X16-AN16</f>
        <v>9250.4600000000046</v>
      </c>
      <c r="Z42" s="2">
        <f t="shared" si="205"/>
        <v>-558471.86784666672</v>
      </c>
      <c r="AB42" s="2">
        <f t="shared" si="206"/>
        <v>14341.324259999965</v>
      </c>
      <c r="AD42" s="71">
        <f t="shared" si="207"/>
        <v>-534880.08358666673</v>
      </c>
      <c r="AG42" s="18" t="s">
        <v>18</v>
      </c>
      <c r="AH42" s="2">
        <f t="shared" si="208"/>
        <v>0</v>
      </c>
      <c r="AI42" s="2"/>
      <c r="AJ42" s="2">
        <f t="shared" si="209"/>
        <v>0</v>
      </c>
      <c r="AL42" s="2">
        <f t="shared" si="210"/>
        <v>0</v>
      </c>
      <c r="AM42" s="2"/>
      <c r="AN42" s="2">
        <f t="shared" si="211"/>
        <v>8090.2400000000016</v>
      </c>
      <c r="AP42" s="2">
        <f t="shared" si="212"/>
        <v>-361121.27483566664</v>
      </c>
      <c r="AR42" s="2">
        <f t="shared" si="213"/>
        <v>-73998.383473333291</v>
      </c>
      <c r="AT42" s="71">
        <f t="shared" si="214"/>
        <v>-427029.41830899997</v>
      </c>
      <c r="AW42" s="18" t="s">
        <v>18</v>
      </c>
      <c r="AX42" s="2">
        <f t="shared" ref="AX42" si="438">AX16</f>
        <v>0</v>
      </c>
      <c r="AY42" s="2"/>
      <c r="AZ42" s="2">
        <f t="shared" ref="AZ42" si="439">AZ16</f>
        <v>0</v>
      </c>
      <c r="BB42" s="2">
        <f t="shared" ref="BB42" si="440">BB16</f>
        <v>0</v>
      </c>
      <c r="BC42" s="2"/>
      <c r="BD42" s="2">
        <f t="shared" ref="BD42" si="441">BD16</f>
        <v>8090.2199999999993</v>
      </c>
      <c r="BF42" s="2">
        <f t="shared" ref="BF42" si="442">BF16</f>
        <v>168659.669069</v>
      </c>
      <c r="BH42" s="2">
        <f t="shared" ref="BH42" si="443">BH16</f>
        <v>-91217.780759999994</v>
      </c>
      <c r="BJ42" s="2">
        <f t="shared" si="309"/>
        <v>85532.108309000003</v>
      </c>
      <c r="BM42" s="18" t="s">
        <v>18</v>
      </c>
      <c r="BN42" s="2">
        <f t="shared" si="221"/>
        <v>0</v>
      </c>
      <c r="BO42" s="2"/>
      <c r="BP42" s="2">
        <f t="shared" si="222"/>
        <v>0</v>
      </c>
      <c r="BR42" s="2">
        <f t="shared" si="223"/>
        <v>0</v>
      </c>
      <c r="BT42" s="2">
        <f t="shared" si="224"/>
        <v>8179.429999999993</v>
      </c>
      <c r="BV42" s="2">
        <f t="shared" si="225"/>
        <v>-568356.66312419402</v>
      </c>
      <c r="BX42" s="2">
        <f t="shared" si="226"/>
        <v>-214535.54190666665</v>
      </c>
      <c r="BZ42" s="2">
        <f t="shared" si="310"/>
        <v>-774712.77503086068</v>
      </c>
      <c r="CC42" s="18" t="s">
        <v>18</v>
      </c>
      <c r="CD42" s="2">
        <f t="shared" si="227"/>
        <v>0</v>
      </c>
      <c r="CE42" s="2"/>
      <c r="CF42" s="2">
        <f t="shared" si="228"/>
        <v>0</v>
      </c>
      <c r="CH42" s="2">
        <f t="shared" si="229"/>
        <v>0</v>
      </c>
      <c r="CI42" s="2"/>
      <c r="CJ42" s="2">
        <f t="shared" si="230"/>
        <v>8179.4799999999977</v>
      </c>
      <c r="CL42" s="2">
        <f t="shared" si="231"/>
        <v>111077.95679311105</v>
      </c>
      <c r="CN42" s="2">
        <f t="shared" si="232"/>
        <v>0</v>
      </c>
      <c r="CP42" s="2">
        <f t="shared" si="311"/>
        <v>119257.43679311105</v>
      </c>
      <c r="CS42" s="18" t="s">
        <v>18</v>
      </c>
      <c r="CT42" s="2">
        <f t="shared" si="233"/>
        <v>0</v>
      </c>
      <c r="CU42" s="2"/>
      <c r="CV42" s="2">
        <f t="shared" si="234"/>
        <v>0</v>
      </c>
      <c r="CX42" s="2">
        <f t="shared" si="235"/>
        <v>0</v>
      </c>
      <c r="CY42" s="2"/>
      <c r="CZ42" s="2">
        <f t="shared" si="236"/>
        <v>8179.4800000000005</v>
      </c>
      <c r="DB42" s="2">
        <f t="shared" si="237"/>
        <v>-290086.35401433299</v>
      </c>
      <c r="DD42" s="2">
        <f t="shared" si="238"/>
        <v>0</v>
      </c>
      <c r="DF42" s="2">
        <f t="shared" si="312"/>
        <v>-281906.87401433301</v>
      </c>
      <c r="DI42" s="18" t="s">
        <v>18</v>
      </c>
      <c r="DJ42" s="2">
        <f t="shared" si="385"/>
        <v>0</v>
      </c>
      <c r="DK42" s="2"/>
      <c r="DL42" s="2">
        <f t="shared" si="385"/>
        <v>0</v>
      </c>
      <c r="DN42" s="2">
        <f t="shared" ref="DN42:DP42" si="444">DN16</f>
        <v>0</v>
      </c>
      <c r="DO42" s="2"/>
      <c r="DP42" s="2">
        <f t="shared" si="444"/>
        <v>8179.449999999998</v>
      </c>
      <c r="DR42" s="2">
        <f t="shared" ref="DR42" si="445">DR16</f>
        <v>-120199.895985667</v>
      </c>
      <c r="DT42" s="2">
        <f t="shared" ref="DT42" si="446">DT16</f>
        <v>0</v>
      </c>
      <c r="DV42" s="2">
        <f t="shared" si="319"/>
        <v>-112020.445985667</v>
      </c>
      <c r="DY42" s="18" t="s">
        <v>18</v>
      </c>
      <c r="DZ42" s="2">
        <f t="shared" si="320"/>
        <v>0</v>
      </c>
      <c r="EA42" s="2"/>
      <c r="EB42" s="2">
        <f t="shared" si="320"/>
        <v>0</v>
      </c>
      <c r="ED42" s="2">
        <f t="shared" si="320"/>
        <v>192439.13</v>
      </c>
      <c r="EF42" s="2">
        <f t="shared" si="320"/>
        <v>-1800756.9625049222</v>
      </c>
      <c r="EH42" s="2">
        <f t="shared" si="320"/>
        <v>189935.62233911117</v>
      </c>
      <c r="EJ42" s="2">
        <f t="shared" si="321"/>
        <v>-1418382.2101658108</v>
      </c>
      <c r="EM42" s="18" t="s">
        <v>18</v>
      </c>
      <c r="EN42" s="2">
        <f t="shared" si="239"/>
        <v>0</v>
      </c>
      <c r="EO42" s="2"/>
      <c r="EP42" s="2">
        <f t="shared" si="239"/>
        <v>0</v>
      </c>
      <c r="ER42" s="2">
        <f t="shared" si="239"/>
        <v>104737.44000000006</v>
      </c>
      <c r="ET42" s="2">
        <f t="shared" si="239"/>
        <v>430039.76584516728</v>
      </c>
      <c r="EV42" s="2">
        <f t="shared" si="239"/>
        <v>-457258.18770477781</v>
      </c>
      <c r="EX42" s="2">
        <f t="shared" si="322"/>
        <v>77519.018140389584</v>
      </c>
      <c r="FA42" s="18" t="s">
        <v>18</v>
      </c>
      <c r="FB42" s="2">
        <f t="shared" si="240"/>
        <v>0</v>
      </c>
      <c r="FC42" s="2"/>
      <c r="FD42" s="2">
        <f t="shared" si="240"/>
        <v>0</v>
      </c>
      <c r="FF42" s="2">
        <f t="shared" si="240"/>
        <v>325394.96999999997</v>
      </c>
      <c r="FH42" s="2">
        <f t="shared" si="240"/>
        <v>-700459.05797457858</v>
      </c>
      <c r="FJ42" s="2">
        <f t="shared" si="240"/>
        <v>0</v>
      </c>
      <c r="FL42" s="2">
        <f t="shared" si="323"/>
        <v>-375064.08797457861</v>
      </c>
      <c r="FO42" s="18" t="s">
        <v>18</v>
      </c>
      <c r="FP42" s="2">
        <f t="shared" ref="FP42:FR42" si="447">FP16</f>
        <v>0</v>
      </c>
      <c r="FQ42" s="2"/>
      <c r="FR42" s="2">
        <f t="shared" si="447"/>
        <v>0</v>
      </c>
      <c r="FT42" s="2">
        <f t="shared" ref="FT42" si="448">FT16</f>
        <v>221251.87</v>
      </c>
      <c r="FV42" s="2">
        <f t="shared" ref="FV42" si="449">FV16</f>
        <v>3192.7600000000079</v>
      </c>
      <c r="FX42" s="2">
        <f t="shared" ref="FX42" si="450">FX16</f>
        <v>0</v>
      </c>
      <c r="FZ42" s="2">
        <f t="shared" si="328"/>
        <v>224444.63</v>
      </c>
      <c r="GC42" s="18" t="s">
        <v>18</v>
      </c>
      <c r="GD42" s="2">
        <f t="shared" si="329"/>
        <v>0</v>
      </c>
      <c r="GE42" s="2"/>
      <c r="GF42" s="2">
        <f t="shared" si="245"/>
        <v>0</v>
      </c>
      <c r="GH42" s="2">
        <f t="shared" si="246"/>
        <v>158805.99</v>
      </c>
      <c r="GJ42" s="2">
        <f t="shared" si="247"/>
        <v>243363.36293257971</v>
      </c>
      <c r="GL42" s="2">
        <f t="shared" si="248"/>
        <v>146615.12470059586</v>
      </c>
      <c r="GN42" s="2">
        <f t="shared" si="330"/>
        <v>548784.47763317556</v>
      </c>
      <c r="GQ42" s="18" t="s">
        <v>18</v>
      </c>
      <c r="GR42" s="2">
        <f t="shared" si="249"/>
        <v>0</v>
      </c>
      <c r="GS42" s="2"/>
      <c r="GT42" s="2">
        <f t="shared" si="250"/>
        <v>0</v>
      </c>
      <c r="GV42" s="2">
        <f t="shared" si="251"/>
        <v>337487.64</v>
      </c>
      <c r="GX42" s="2">
        <f t="shared" si="252"/>
        <v>98609.89533933351</v>
      </c>
      <c r="GZ42" s="2">
        <f t="shared" si="253"/>
        <v>-29544.963700595865</v>
      </c>
      <c r="HB42" s="2">
        <f t="shared" si="331"/>
        <v>406552.57163873769</v>
      </c>
      <c r="HE42" s="18" t="s">
        <v>18</v>
      </c>
      <c r="HF42" s="2">
        <f t="shared" si="254"/>
        <v>0</v>
      </c>
      <c r="HG42" s="2"/>
      <c r="HH42" s="2">
        <f t="shared" si="255"/>
        <v>0</v>
      </c>
      <c r="HJ42" s="2">
        <f t="shared" si="256"/>
        <v>295056.04000000004</v>
      </c>
      <c r="HL42" s="2">
        <f t="shared" si="257"/>
        <v>178719.70865500005</v>
      </c>
      <c r="HN42" s="2">
        <f t="shared" si="258"/>
        <v>-117070.16099999999</v>
      </c>
      <c r="HP42" s="2">
        <f t="shared" si="332"/>
        <v>356705.58765500016</v>
      </c>
      <c r="HS42" s="18" t="s">
        <v>18</v>
      </c>
      <c r="HT42" s="2">
        <f t="shared" ref="HT42" si="451">HT16</f>
        <v>0</v>
      </c>
      <c r="HU42" s="2"/>
      <c r="HV42" s="2">
        <f t="shared" ref="HV42" si="452">HV16</f>
        <v>0</v>
      </c>
      <c r="HX42" s="2">
        <f t="shared" si="410"/>
        <v>157563.59</v>
      </c>
      <c r="HZ42" s="2">
        <f t="shared" si="411"/>
        <v>259495.85949999999</v>
      </c>
      <c r="IB42" s="2">
        <f t="shared" si="412"/>
        <v>0</v>
      </c>
      <c r="ID42" s="2">
        <f t="shared" si="338"/>
        <v>417059.44949999999</v>
      </c>
      <c r="IG42" s="18" t="s">
        <v>18</v>
      </c>
      <c r="IH42" s="2">
        <f t="shared" si="259"/>
        <v>0</v>
      </c>
      <c r="II42" s="2"/>
      <c r="IJ42" s="2">
        <f t="shared" si="260"/>
        <v>0</v>
      </c>
      <c r="IL42" s="2">
        <f t="shared" si="261"/>
        <v>220453.59999999998</v>
      </c>
      <c r="IN42" s="2">
        <f t="shared" si="262"/>
        <v>-249616.06050000002</v>
      </c>
      <c r="IP42" s="2">
        <f>IP16-JD16</f>
        <v>0</v>
      </c>
      <c r="IR42" s="2">
        <f t="shared" si="339"/>
        <v>-29162.460500000045</v>
      </c>
      <c r="IU42" s="18" t="s">
        <v>18</v>
      </c>
      <c r="IV42" s="2">
        <f t="shared" si="264"/>
        <v>0</v>
      </c>
      <c r="IW42" s="2"/>
      <c r="IX42" s="2">
        <f t="shared" si="264"/>
        <v>0</v>
      </c>
      <c r="IZ42" s="2">
        <f t="shared" si="264"/>
        <v>433927.26999999996</v>
      </c>
      <c r="JB42" s="2">
        <f t="shared" si="264"/>
        <v>596292.90950000007</v>
      </c>
      <c r="JD42" s="2">
        <f t="shared" si="264"/>
        <v>0</v>
      </c>
      <c r="JF42" s="2">
        <f t="shared" si="340"/>
        <v>1030220.1795000001</v>
      </c>
      <c r="JI42" s="18" t="s">
        <v>18</v>
      </c>
      <c r="JJ42" s="2">
        <f t="shared" si="265"/>
        <v>0</v>
      </c>
      <c r="JK42" s="2"/>
      <c r="JL42" s="2">
        <f t="shared" si="266"/>
        <v>0</v>
      </c>
      <c r="JN42" s="2">
        <f t="shared" si="267"/>
        <v>241731.94</v>
      </c>
      <c r="JP42" s="2">
        <f t="shared" si="268"/>
        <v>-84373.36050000001</v>
      </c>
      <c r="JR42" s="2">
        <f t="shared" si="269"/>
        <v>0</v>
      </c>
      <c r="JT42" s="2">
        <f t="shared" si="341"/>
        <v>157358.57949999999</v>
      </c>
      <c r="JW42" s="18" t="s">
        <v>18</v>
      </c>
      <c r="JX42" s="2">
        <f t="shared" si="432"/>
        <v>0</v>
      </c>
      <c r="JY42" s="2"/>
      <c r="JZ42" s="2">
        <f t="shared" si="432"/>
        <v>0</v>
      </c>
      <c r="KB42" s="2">
        <f t="shared" ref="KB42" si="453">KB16</f>
        <v>199470.61</v>
      </c>
      <c r="KD42" s="2">
        <f t="shared" ref="KD42" si="454">KD16</f>
        <v>115878.63950000003</v>
      </c>
      <c r="KF42" s="2">
        <f t="shared" ref="KF42" si="455">KF16</f>
        <v>0</v>
      </c>
      <c r="KH42" s="2">
        <f t="shared" si="346"/>
        <v>315349.24950000003</v>
      </c>
      <c r="KK42" s="18" t="s">
        <v>18</v>
      </c>
      <c r="KL42" s="2">
        <f t="shared" si="270"/>
        <v>0</v>
      </c>
      <c r="KM42" s="2"/>
      <c r="KN42" s="2">
        <f t="shared" si="271"/>
        <v>0</v>
      </c>
      <c r="KP42" s="2">
        <f t="shared" si="272"/>
        <v>200901.87</v>
      </c>
      <c r="KR42" s="2">
        <f t="shared" si="273"/>
        <v>-208379.25050000002</v>
      </c>
      <c r="KT42" s="2">
        <f t="shared" si="274"/>
        <v>0</v>
      </c>
      <c r="KV42" s="2">
        <f t="shared" si="347"/>
        <v>-7477.3805000000284</v>
      </c>
      <c r="KY42" s="18" t="s">
        <v>18</v>
      </c>
      <c r="KZ42" s="2">
        <f t="shared" ref="KZ42" si="456">KZ16-LN16</f>
        <v>0</v>
      </c>
      <c r="LA42" s="2"/>
      <c r="LB42" s="2">
        <f t="shared" ref="LB42" si="457">LB16-LP16</f>
        <v>0</v>
      </c>
      <c r="LD42" s="2">
        <f t="shared" ref="LD42" si="458">LD16-LR16</f>
        <v>335905.35</v>
      </c>
      <c r="LF42" s="2">
        <f t="shared" ref="LF42" si="459">LF16-LT16</f>
        <v>-232705.42050000001</v>
      </c>
      <c r="LH42" s="2">
        <f t="shared" ref="LH42" si="460">LH16-LV16</f>
        <v>0</v>
      </c>
      <c r="LJ42" s="2">
        <f t="shared" si="280"/>
        <v>103199.92949999997</v>
      </c>
      <c r="LM42" s="18" t="s">
        <v>18</v>
      </c>
      <c r="LN42" s="2">
        <f t="shared" si="348"/>
        <v>0</v>
      </c>
      <c r="LO42" s="2"/>
      <c r="LP42" s="2">
        <f t="shared" si="349"/>
        <v>0</v>
      </c>
      <c r="LR42" s="2">
        <f t="shared" si="350"/>
        <v>208008.31999999998</v>
      </c>
      <c r="LT42" s="2">
        <f t="shared" si="351"/>
        <v>138372.5895</v>
      </c>
      <c r="LV42" s="2">
        <f t="shared" si="281"/>
        <v>0</v>
      </c>
      <c r="LX42" s="2">
        <f t="shared" si="282"/>
        <v>346380.90949999995</v>
      </c>
      <c r="LZ42" s="18" t="s">
        <v>18</v>
      </c>
      <c r="MA42" s="2">
        <f t="shared" si="283"/>
        <v>0</v>
      </c>
      <c r="MB42" s="2"/>
      <c r="MC42" s="2">
        <f t="shared" si="284"/>
        <v>0</v>
      </c>
      <c r="ME42" s="2">
        <f t="shared" si="285"/>
        <v>205621.66</v>
      </c>
      <c r="MF42" s="61"/>
      <c r="MG42" s="2">
        <f t="shared" si="286"/>
        <v>82478.959499999983</v>
      </c>
      <c r="MI42" s="2">
        <f t="shared" si="287"/>
        <v>0</v>
      </c>
      <c r="MK42" s="2">
        <f t="shared" si="352"/>
        <v>288100.61949999997</v>
      </c>
      <c r="MM42" s="18" t="s">
        <v>18</v>
      </c>
      <c r="MN42" s="2">
        <f t="shared" si="288"/>
        <v>0</v>
      </c>
      <c r="MO42" s="2"/>
      <c r="MP42" s="2">
        <f t="shared" si="288"/>
        <v>0</v>
      </c>
      <c r="MR42" s="2">
        <f t="shared" si="288"/>
        <v>83998.89000000013</v>
      </c>
      <c r="MT42" s="2">
        <f t="shared" si="288"/>
        <v>-38521.670500000037</v>
      </c>
      <c r="MV42" s="2">
        <f t="shared" si="288"/>
        <v>0</v>
      </c>
      <c r="MX42" s="2">
        <f t="shared" si="353"/>
        <v>45477.219500000094</v>
      </c>
      <c r="NA42" s="18" t="s">
        <v>18</v>
      </c>
      <c r="NB42" s="2">
        <f t="shared" si="289"/>
        <v>0</v>
      </c>
      <c r="NC42" s="2"/>
      <c r="ND42" s="2">
        <f t="shared" si="290"/>
        <v>0</v>
      </c>
      <c r="NF42" s="2">
        <f t="shared" si="291"/>
        <v>237228.60999999987</v>
      </c>
      <c r="NH42" s="2">
        <f t="shared" si="292"/>
        <v>77606.724107080023</v>
      </c>
      <c r="NJ42" s="2">
        <f t="shared" si="293"/>
        <v>0</v>
      </c>
      <c r="NL42" s="2">
        <f t="shared" si="294"/>
        <v>314835.33410707989</v>
      </c>
      <c r="NO42" s="18" t="s">
        <v>18</v>
      </c>
      <c r="NP42" s="2">
        <f t="shared" si="354"/>
        <v>0</v>
      </c>
      <c r="NQ42" s="2"/>
      <c r="NR42" s="2">
        <f t="shared" si="355"/>
        <v>0</v>
      </c>
      <c r="NT42" s="2">
        <f t="shared" si="356"/>
        <v>2472785.3200000003</v>
      </c>
      <c r="NV42" s="2">
        <f t="shared" si="295"/>
        <v>-209805.93049999999</v>
      </c>
      <c r="NX42" s="2">
        <f t="shared" si="295"/>
        <v>0</v>
      </c>
      <c r="NZ42" s="2">
        <f t="shared" si="296"/>
        <v>2262979.3895000005</v>
      </c>
      <c r="OB42" s="18" t="s">
        <v>18</v>
      </c>
      <c r="OC42" s="2">
        <f>OC16</f>
        <v>0</v>
      </c>
      <c r="OD42" s="2"/>
      <c r="OE42" s="2">
        <f>OE16</f>
        <v>0</v>
      </c>
      <c r="OG42" s="2">
        <f t="shared" si="297"/>
        <v>858540</v>
      </c>
      <c r="OH42" s="61"/>
      <c r="OI42" s="2">
        <f t="shared" si="298"/>
        <v>387302.44489291997</v>
      </c>
      <c r="OK42" s="2">
        <f t="shared" si="299"/>
        <v>0</v>
      </c>
      <c r="OM42" s="2">
        <f t="shared" si="300"/>
        <v>1245842.4448929201</v>
      </c>
      <c r="OO42" s="18" t="s">
        <v>18</v>
      </c>
      <c r="OP42" s="2">
        <f t="shared" si="393"/>
        <v>0</v>
      </c>
      <c r="OQ42" s="2"/>
      <c r="OR42" s="2">
        <f t="shared" si="394"/>
        <v>0</v>
      </c>
      <c r="OT42" s="2">
        <v>564398.67000000004</v>
      </c>
      <c r="OV42" s="2">
        <v>-450529.54049999983</v>
      </c>
      <c r="OW42" s="2">
        <f>OW16-PJ16</f>
        <v>0</v>
      </c>
      <c r="OX42" s="2">
        <v>0</v>
      </c>
      <c r="OZ42" s="2">
        <f t="shared" si="175"/>
        <v>113869.12950000021</v>
      </c>
      <c r="PB42" s="18" t="s">
        <v>18</v>
      </c>
      <c r="PC42" s="2"/>
      <c r="PD42" s="2"/>
      <c r="PG42" s="39"/>
      <c r="PI42" s="2">
        <f t="shared" si="436"/>
        <v>219155.4794999999</v>
      </c>
      <c r="PK42" s="2">
        <f t="shared" si="437"/>
        <v>0</v>
      </c>
      <c r="PM42" s="2">
        <f t="shared" si="176"/>
        <v>219155.4794999999</v>
      </c>
      <c r="PO42" s="51" t="s">
        <v>18</v>
      </c>
      <c r="PP42" s="2"/>
      <c r="PQ42" s="2"/>
      <c r="PT42" s="39"/>
      <c r="PV42" s="2">
        <f>PV16-QI16</f>
        <v>419677.16966666561</v>
      </c>
      <c r="PX42" s="2">
        <f>PX16-QK16</f>
        <v>0</v>
      </c>
      <c r="PZ42" s="2">
        <f t="shared" si="302"/>
        <v>419677.16966666561</v>
      </c>
      <c r="QB42" s="18" t="s">
        <v>18</v>
      </c>
      <c r="QC42" s="2"/>
      <c r="QD42" s="2"/>
      <c r="QG42" s="39"/>
      <c r="QI42" s="2">
        <f>QI16-QV16</f>
        <v>257287.08000000054</v>
      </c>
      <c r="QK42" s="2">
        <f>QK16-QX16</f>
        <v>0</v>
      </c>
      <c r="QM42" s="2">
        <f t="shared" si="177"/>
        <v>257287.08000000054</v>
      </c>
      <c r="QO42" s="18" t="s">
        <v>18</v>
      </c>
      <c r="QP42" s="2"/>
      <c r="QQ42" s="2"/>
      <c r="QV42" s="2">
        <f>QV16-RI16</f>
        <v>405637.39999999991</v>
      </c>
      <c r="QX42" s="2">
        <f>QX16-RK16</f>
        <v>0</v>
      </c>
      <c r="QZ42" s="2">
        <f t="shared" si="178"/>
        <v>405637.39999999991</v>
      </c>
      <c r="RB42" s="18" t="s">
        <v>18</v>
      </c>
      <c r="RC42" s="2"/>
      <c r="RD42" s="2"/>
      <c r="RI42" s="2">
        <f>RI16-RV16</f>
        <v>438773.67000000004</v>
      </c>
      <c r="RK42" s="2">
        <f>RK16-RX16</f>
        <v>0</v>
      </c>
      <c r="RM42" s="2">
        <f t="shared" si="179"/>
        <v>438773.67000000004</v>
      </c>
      <c r="RO42" s="18" t="s">
        <v>18</v>
      </c>
      <c r="RP42" s="2"/>
      <c r="RQ42" s="2"/>
      <c r="RV42" s="2">
        <f>RV16</f>
        <v>760074.93</v>
      </c>
      <c r="RX42" s="2">
        <f>RX16</f>
        <v>0</v>
      </c>
      <c r="RZ42" s="2">
        <f t="shared" si="180"/>
        <v>760074.93</v>
      </c>
      <c r="SB42" s="18" t="s">
        <v>18</v>
      </c>
      <c r="SC42" s="2"/>
      <c r="SD42" s="2"/>
      <c r="SI42" s="2">
        <f>SI16-SV16</f>
        <v>1150048.29</v>
      </c>
      <c r="SK42" s="2">
        <f>SK16-SX16</f>
        <v>0</v>
      </c>
      <c r="SM42" s="2">
        <f t="shared" si="181"/>
        <v>1150048.29</v>
      </c>
      <c r="SO42" s="18" t="s">
        <v>18</v>
      </c>
      <c r="SP42" s="2"/>
      <c r="SQ42" s="2"/>
      <c r="SV42" s="2">
        <f>SV16-TI16</f>
        <v>433147.29000000004</v>
      </c>
      <c r="SX42" s="2">
        <f>SX16-TK16</f>
        <v>0</v>
      </c>
      <c r="SZ42" s="2">
        <f t="shared" si="182"/>
        <v>433147.29000000004</v>
      </c>
      <c r="TB42" s="18" t="s">
        <v>18</v>
      </c>
      <c r="TC42" s="2"/>
      <c r="TD42" s="2"/>
      <c r="TI42" s="2">
        <f>TI16-TV16</f>
        <v>712377.34999999986</v>
      </c>
      <c r="TK42" s="2">
        <f>TK16-TX16</f>
        <v>0</v>
      </c>
      <c r="TM42" s="2">
        <f t="shared" si="183"/>
        <v>712377.34999999986</v>
      </c>
      <c r="TO42" s="18" t="s">
        <v>18</v>
      </c>
      <c r="TP42" s="2"/>
      <c r="TQ42" s="2"/>
      <c r="TV42" s="2">
        <f>TV16</f>
        <v>385154.11000000004</v>
      </c>
      <c r="TX42" s="2">
        <f>TX16</f>
        <v>0</v>
      </c>
      <c r="TZ42" s="2">
        <f t="shared" si="184"/>
        <v>385154.11000000004</v>
      </c>
      <c r="UB42" s="18" t="s">
        <v>18</v>
      </c>
      <c r="UC42" s="2"/>
      <c r="UD42" s="2"/>
      <c r="UI42" s="2">
        <f>UI16-UV16</f>
        <v>320598.85000000003</v>
      </c>
      <c r="UK42" s="2">
        <f>UK16-UX16</f>
        <v>75313.39</v>
      </c>
      <c r="UM42" s="2">
        <f t="shared" si="185"/>
        <v>395912.24000000005</v>
      </c>
      <c r="UO42" s="18" t="s">
        <v>18</v>
      </c>
      <c r="UP42" s="2"/>
      <c r="UQ42" s="2"/>
      <c r="UV42" s="2">
        <f>UV16-VI16</f>
        <v>54204.83</v>
      </c>
      <c r="UX42" s="2">
        <f>UX16-VK16</f>
        <v>-23066.370000000003</v>
      </c>
      <c r="UZ42" s="2">
        <f t="shared" si="186"/>
        <v>31138.46</v>
      </c>
      <c r="VB42" s="18" t="s">
        <v>18</v>
      </c>
      <c r="VC42" s="2"/>
      <c r="VD42" s="2"/>
      <c r="VI42" s="2">
        <f>VI16-VV16</f>
        <v>-58040.130000000005</v>
      </c>
      <c r="VK42" s="2">
        <f>VK16-VX16</f>
        <v>-28909.099999999995</v>
      </c>
      <c r="VM42" s="2">
        <f t="shared" si="187"/>
        <v>-86949.23</v>
      </c>
      <c r="VO42" s="18" t="s">
        <v>18</v>
      </c>
      <c r="VP42" s="2"/>
      <c r="VQ42" s="2"/>
      <c r="VV42" s="2">
        <f>VV16</f>
        <v>32090.84</v>
      </c>
      <c r="VX42" s="2">
        <f>VX16</f>
        <v>-23337.920000000002</v>
      </c>
      <c r="VZ42" s="2">
        <f t="shared" si="188"/>
        <v>8752.9199999999983</v>
      </c>
      <c r="WB42" s="18" t="s">
        <v>18</v>
      </c>
      <c r="WC42" s="2"/>
      <c r="WD42" s="2"/>
      <c r="WI42" s="2">
        <f>WI16-WV16</f>
        <v>-427350.41</v>
      </c>
      <c r="WK42" s="2">
        <f>WK16-WX16</f>
        <v>-22136.3</v>
      </c>
      <c r="WM42" s="2">
        <f t="shared" si="189"/>
        <v>-449486.70999999996</v>
      </c>
      <c r="WO42" s="18" t="s">
        <v>18</v>
      </c>
      <c r="WP42" s="2"/>
      <c r="WQ42" s="2"/>
      <c r="WV42" s="2">
        <f>WV16-XI16</f>
        <v>158066.00999999998</v>
      </c>
      <c r="WX42" s="2">
        <f>WX16-XK16</f>
        <v>0</v>
      </c>
      <c r="WZ42" s="2">
        <f t="shared" si="190"/>
        <v>158066.00999999998</v>
      </c>
      <c r="XB42" s="18" t="s">
        <v>18</v>
      </c>
      <c r="XC42" s="2"/>
      <c r="XD42" s="2"/>
      <c r="XI42" s="2">
        <f>XI16-XV16</f>
        <v>194895.26</v>
      </c>
      <c r="XK42" s="2">
        <f>XK16-XX16</f>
        <v>-4168.71</v>
      </c>
      <c r="XM42" s="2">
        <f t="shared" si="191"/>
        <v>190726.55000000002</v>
      </c>
      <c r="XO42" s="18" t="s">
        <v>18</v>
      </c>
      <c r="XP42" s="2"/>
      <c r="XQ42" s="2"/>
      <c r="XV42" s="2">
        <f>XV16</f>
        <v>6217.71</v>
      </c>
      <c r="XX42" s="2">
        <f>XX16</f>
        <v>4168.71</v>
      </c>
      <c r="XZ42" s="2">
        <f t="shared" si="192"/>
        <v>10386.42</v>
      </c>
      <c r="YB42" s="18" t="s">
        <v>18</v>
      </c>
      <c r="YC42" s="2"/>
      <c r="YD42" s="2"/>
      <c r="YI42" s="2">
        <f>YI16-YV16</f>
        <v>102945.41</v>
      </c>
      <c r="YK42" s="2">
        <f>YK16-YX16</f>
        <v>-20126.133495405302</v>
      </c>
      <c r="YM42" s="2">
        <f t="shared" si="193"/>
        <v>82819.276504594702</v>
      </c>
      <c r="YO42" s="18"/>
      <c r="YP42" s="2"/>
      <c r="YQ42" s="2"/>
    </row>
    <row r="43" spans="1:676">
      <c r="H43" s="61"/>
      <c r="X43" s="61"/>
      <c r="AD43" s="61"/>
      <c r="AR43" s="2">
        <f t="shared" si="213"/>
        <v>0</v>
      </c>
      <c r="AT43" s="61"/>
      <c r="LR43" s="53"/>
      <c r="ME43" s="53"/>
      <c r="MF43" s="61"/>
      <c r="NT43" s="53"/>
      <c r="OG43" s="53"/>
      <c r="OH43" s="61"/>
      <c r="OT43" s="53"/>
      <c r="PG43" s="39"/>
      <c r="PT43" s="39"/>
      <c r="QG43" s="39"/>
    </row>
    <row r="44" spans="1:676" ht="21.5" thickBot="1">
      <c r="A44" s="23" t="s">
        <v>135</v>
      </c>
      <c r="B44" s="12" t="e">
        <f>B30+B35</f>
        <v>#REF!</v>
      </c>
      <c r="C44" s="9"/>
      <c r="D44" s="12" t="e">
        <f>D30+D35</f>
        <v>#REF!</v>
      </c>
      <c r="E44" s="8"/>
      <c r="F44" s="64" t="e">
        <f>F30+F35</f>
        <v>#REF!</v>
      </c>
      <c r="G44" s="8"/>
      <c r="H44" s="64" t="e">
        <f>H30+H35</f>
        <v>#REF!</v>
      </c>
      <c r="I44" s="8"/>
      <c r="J44" s="12" t="e">
        <f>J30+J35</f>
        <v>#REF!</v>
      </c>
      <c r="K44" s="8"/>
      <c r="L44" s="12" t="e">
        <f>L30+L35</f>
        <v>#REF!</v>
      </c>
      <c r="M44" s="8"/>
      <c r="N44" s="12" t="e">
        <f>N30+N35</f>
        <v>#REF!</v>
      </c>
      <c r="Q44" s="23" t="s">
        <v>135</v>
      </c>
      <c r="R44" s="64" t="e">
        <f>R30+R35</f>
        <v>#REF!</v>
      </c>
      <c r="S44" s="72"/>
      <c r="T44" s="64" t="e">
        <f>T30+T35</f>
        <v>#REF!</v>
      </c>
      <c r="U44" s="63"/>
      <c r="V44" s="64" t="e">
        <f>V30+V35</f>
        <v>#REF!</v>
      </c>
      <c r="W44" s="63"/>
      <c r="X44" s="64" t="e">
        <f>X30+X35</f>
        <v>#REF!</v>
      </c>
      <c r="Y44" s="63"/>
      <c r="Z44" s="64" t="e">
        <f>Z30+Z35</f>
        <v>#REF!</v>
      </c>
      <c r="AA44" s="63"/>
      <c r="AB44" s="64" t="e">
        <f>AB30+AB35</f>
        <v>#REF!</v>
      </c>
      <c r="AC44" s="8"/>
      <c r="AD44" s="64" t="e">
        <f>AD30+AD35</f>
        <v>#REF!</v>
      </c>
      <c r="AG44" s="23" t="s">
        <v>135</v>
      </c>
      <c r="AH44" s="64" t="e">
        <f>AH30+AH35</f>
        <v>#REF!</v>
      </c>
      <c r="AI44" s="72"/>
      <c r="AJ44" s="64" t="e">
        <f>AJ30+AJ35</f>
        <v>#REF!</v>
      </c>
      <c r="AK44" s="63"/>
      <c r="AL44" s="64" t="e">
        <f>AL30+AL35</f>
        <v>#REF!</v>
      </c>
      <c r="AM44" s="63"/>
      <c r="AN44" s="64" t="e">
        <f>AN30+AN35</f>
        <v>#REF!</v>
      </c>
      <c r="AO44" s="63"/>
      <c r="AP44" s="64" t="e">
        <f>AP30+AP35</f>
        <v>#REF!</v>
      </c>
      <c r="AQ44" s="63"/>
      <c r="AR44" s="64" t="e">
        <f>AR30+AR35</f>
        <v>#REF!</v>
      </c>
      <c r="AS44" s="8"/>
      <c r="AT44" s="64" t="e">
        <f>AT30+AT35</f>
        <v>#REF!</v>
      </c>
      <c r="AW44" s="23" t="s">
        <v>135</v>
      </c>
      <c r="AX44" s="12" t="e">
        <f>AX30+AX35</f>
        <v>#REF!</v>
      </c>
      <c r="AY44" s="9"/>
      <c r="AZ44" s="12" t="e">
        <f>AZ30+AZ35</f>
        <v>#REF!</v>
      </c>
      <c r="BA44" s="8"/>
      <c r="BB44" s="64" t="e">
        <f>BB30+BB35</f>
        <v>#REF!</v>
      </c>
      <c r="BC44" s="63"/>
      <c r="BD44" s="64" t="e">
        <f>BD30+BD35</f>
        <v>#REF!</v>
      </c>
      <c r="BE44" s="8"/>
      <c r="BF44" s="12" t="e">
        <f>BF30+BF35</f>
        <v>#REF!</v>
      </c>
      <c r="BG44" s="8"/>
      <c r="BH44" s="12" t="e">
        <f>BH30+BH35</f>
        <v>#REF!</v>
      </c>
      <c r="BI44" s="8"/>
      <c r="BJ44" s="12" t="e">
        <f>BJ30+BJ35</f>
        <v>#REF!</v>
      </c>
      <c r="BM44" s="23" t="s">
        <v>135</v>
      </c>
      <c r="BN44" s="12" t="e">
        <f>BN30+BN35</f>
        <v>#REF!</v>
      </c>
      <c r="BO44" s="9"/>
      <c r="BP44" s="12" t="e">
        <f>BP30+BP35</f>
        <v>#REF!</v>
      </c>
      <c r="BQ44" s="8"/>
      <c r="BR44" s="64" t="e">
        <f>BR30+BR35</f>
        <v>#REF!</v>
      </c>
      <c r="BS44" s="8"/>
      <c r="BT44" s="64" t="e">
        <f>BT30+BT35</f>
        <v>#REF!</v>
      </c>
      <c r="BU44" s="8"/>
      <c r="BV44" s="12" t="e">
        <f>BV30+BV35</f>
        <v>#REF!</v>
      </c>
      <c r="BW44" s="8"/>
      <c r="BX44" s="12" t="e">
        <f>BX30+BX35</f>
        <v>#REF!</v>
      </c>
      <c r="BY44" s="8"/>
      <c r="BZ44" s="12" t="e">
        <f>BZ30+BZ35</f>
        <v>#REF!</v>
      </c>
      <c r="CC44" s="23" t="s">
        <v>135</v>
      </c>
      <c r="CD44" s="12" t="e">
        <f>CD30+CD35</f>
        <v>#REF!</v>
      </c>
      <c r="CE44" s="9"/>
      <c r="CF44" s="12" t="e">
        <f>CF30+CF35</f>
        <v>#REF!</v>
      </c>
      <c r="CG44" s="8"/>
      <c r="CH44" s="64" t="e">
        <f>CH30+CH35</f>
        <v>#REF!</v>
      </c>
      <c r="CI44" s="63"/>
      <c r="CJ44" s="64" t="e">
        <f>CJ30+CJ35</f>
        <v>#REF!</v>
      </c>
      <c r="CK44" s="8"/>
      <c r="CL44" s="12" t="e">
        <f>CL30+CL35</f>
        <v>#REF!</v>
      </c>
      <c r="CM44" s="8"/>
      <c r="CN44" s="12" t="e">
        <f>CN30+CN35</f>
        <v>#REF!</v>
      </c>
      <c r="CO44" s="8"/>
      <c r="CP44" s="12" t="e">
        <f>CP30+CP35</f>
        <v>#REF!</v>
      </c>
      <c r="CS44" s="23" t="s">
        <v>135</v>
      </c>
      <c r="CT44" s="12" t="e">
        <f>CT30+CT35</f>
        <v>#REF!</v>
      </c>
      <c r="CU44" s="9"/>
      <c r="CV44" s="12" t="e">
        <f>CV30+CV35</f>
        <v>#REF!</v>
      </c>
      <c r="CW44" s="8"/>
      <c r="CX44" s="64" t="e">
        <f>CX30+CX35</f>
        <v>#REF!</v>
      </c>
      <c r="CY44" s="63"/>
      <c r="CZ44" s="64" t="e">
        <f>CZ30+CZ35</f>
        <v>#REF!</v>
      </c>
      <c r="DA44" s="8"/>
      <c r="DB44" s="12" t="e">
        <f>DB30+DB35</f>
        <v>#REF!</v>
      </c>
      <c r="DC44" s="8"/>
      <c r="DD44" s="12" t="e">
        <f>DD30+DD35</f>
        <v>#REF!</v>
      </c>
      <c r="DE44" s="8"/>
      <c r="DF44" s="12" t="e">
        <f>DF30+DF35</f>
        <v>#REF!</v>
      </c>
      <c r="DI44" s="23" t="s">
        <v>135</v>
      </c>
      <c r="DJ44" s="12" t="e">
        <f>DJ30+DJ35</f>
        <v>#REF!</v>
      </c>
      <c r="DK44" s="9"/>
      <c r="DL44" s="12" t="e">
        <f>DL30+DL35</f>
        <v>#REF!</v>
      </c>
      <c r="DM44" s="8"/>
      <c r="DN44" s="64" t="e">
        <f>DN30+DN35</f>
        <v>#REF!</v>
      </c>
      <c r="DO44" s="63"/>
      <c r="DP44" s="64" t="e">
        <f>DP30+DP35</f>
        <v>#REF!</v>
      </c>
      <c r="DQ44" s="8"/>
      <c r="DR44" s="12" t="e">
        <f>DR30+DR35</f>
        <v>#REF!</v>
      </c>
      <c r="DS44" s="8"/>
      <c r="DT44" s="12" t="e">
        <f>DT30+DT35</f>
        <v>#REF!</v>
      </c>
      <c r="DU44" s="8"/>
      <c r="DV44" s="12" t="e">
        <f>DV30+DV35</f>
        <v>#REF!</v>
      </c>
      <c r="DY44" s="7" t="s">
        <v>42</v>
      </c>
      <c r="DZ44" s="12" t="e">
        <f>DZ30+DZ35</f>
        <v>#REF!</v>
      </c>
      <c r="EA44" s="9"/>
      <c r="EB44" s="12" t="e">
        <f>EB30+EB35</f>
        <v>#REF!</v>
      </c>
      <c r="EC44" s="8"/>
      <c r="ED44" s="64" t="e">
        <f>ED30+ED35</f>
        <v>#REF!</v>
      </c>
      <c r="EE44" s="8"/>
      <c r="EF44" s="12" t="e">
        <f>EF30+EF35</f>
        <v>#REF!</v>
      </c>
      <c r="EG44" s="8"/>
      <c r="EH44" s="12" t="e">
        <f>EH30+EH35</f>
        <v>#REF!</v>
      </c>
      <c r="EI44" s="8"/>
      <c r="EJ44" s="12" t="e">
        <f>EJ30+EJ35</f>
        <v>#REF!</v>
      </c>
      <c r="EM44" s="7" t="s">
        <v>42</v>
      </c>
      <c r="EN44" s="12" t="e">
        <f>EN30+EN35</f>
        <v>#REF!</v>
      </c>
      <c r="EO44" s="9"/>
      <c r="EP44" s="12" t="e">
        <f>EP30+EP35</f>
        <v>#REF!</v>
      </c>
      <c r="EQ44" s="8"/>
      <c r="ER44" s="64" t="e">
        <f>ER30+ER35</f>
        <v>#REF!</v>
      </c>
      <c r="ES44" s="8"/>
      <c r="ET44" s="12" t="e">
        <f>ET30+ET35</f>
        <v>#REF!</v>
      </c>
      <c r="EU44" s="8"/>
      <c r="EV44" s="12" t="e">
        <f>EV30+EV35</f>
        <v>#REF!</v>
      </c>
      <c r="EW44" s="8"/>
      <c r="EX44" s="12" t="e">
        <f>EX30+EX35</f>
        <v>#REF!</v>
      </c>
      <c r="FA44" s="7" t="s">
        <v>42</v>
      </c>
      <c r="FB44" s="12" t="e">
        <f>FB30+FB35</f>
        <v>#REF!</v>
      </c>
      <c r="FC44" s="9"/>
      <c r="FD44" s="12" t="e">
        <f>FD30+FD35</f>
        <v>#REF!</v>
      </c>
      <c r="FE44" s="8"/>
      <c r="FF44" s="64" t="e">
        <f>FF30+FF35</f>
        <v>#REF!</v>
      </c>
      <c r="FG44" s="8"/>
      <c r="FH44" s="12" t="e">
        <f>FH30+FH35</f>
        <v>#REF!</v>
      </c>
      <c r="FI44" s="8"/>
      <c r="FJ44" s="12" t="e">
        <f>FJ30+FJ35</f>
        <v>#REF!</v>
      </c>
      <c r="FK44" s="8"/>
      <c r="FL44" s="12" t="e">
        <f>FL30+FL35</f>
        <v>#REF!</v>
      </c>
      <c r="FO44" s="7" t="s">
        <v>42</v>
      </c>
      <c r="FP44" s="12" t="e">
        <f>FP30+FP35</f>
        <v>#REF!</v>
      </c>
      <c r="FQ44" s="9"/>
      <c r="FR44" s="12" t="e">
        <f>FR30+FR35</f>
        <v>#REF!</v>
      </c>
      <c r="FS44" s="8"/>
      <c r="FT44" s="64" t="e">
        <f>FT30+FT35</f>
        <v>#REF!</v>
      </c>
      <c r="FU44" s="8"/>
      <c r="FV44" s="12" t="e">
        <f>FV30+FV35</f>
        <v>#REF!</v>
      </c>
      <c r="FW44" s="8"/>
      <c r="FX44" s="12" t="e">
        <f>FX30+FX35</f>
        <v>#REF!</v>
      </c>
      <c r="FY44" s="8"/>
      <c r="FZ44" s="12" t="e">
        <f>FZ30+FZ35</f>
        <v>#REF!</v>
      </c>
      <c r="GC44" s="7" t="s">
        <v>42</v>
      </c>
      <c r="GD44" s="12" t="e">
        <f>GD30+GD35</f>
        <v>#REF!</v>
      </c>
      <c r="GE44" s="9"/>
      <c r="GF44" s="12" t="e">
        <f>GF30+GF35</f>
        <v>#REF!</v>
      </c>
      <c r="GG44" s="8"/>
      <c r="GH44" s="64" t="e">
        <f>GH30+GH35</f>
        <v>#REF!</v>
      </c>
      <c r="GI44" s="8"/>
      <c r="GJ44" s="12" t="e">
        <f>GJ30+GJ35</f>
        <v>#REF!</v>
      </c>
      <c r="GK44" s="8"/>
      <c r="GL44" s="12" t="e">
        <f>GL30+GL35</f>
        <v>#REF!</v>
      </c>
      <c r="GM44" s="8"/>
      <c r="GN44" s="12" t="e">
        <f>GN30+GN35</f>
        <v>#REF!</v>
      </c>
      <c r="GQ44" s="7" t="s">
        <v>42</v>
      </c>
      <c r="GR44" s="12" t="e">
        <f>GR30+GR35</f>
        <v>#REF!</v>
      </c>
      <c r="GS44" s="9"/>
      <c r="GT44" s="12" t="e">
        <f>GT30+GT35</f>
        <v>#REF!</v>
      </c>
      <c r="GU44" s="8"/>
      <c r="GV44" s="64" t="e">
        <f>GV30+GV35</f>
        <v>#REF!</v>
      </c>
      <c r="GW44" s="8"/>
      <c r="GX44" s="12" t="e">
        <f>GX30+GX35</f>
        <v>#REF!</v>
      </c>
      <c r="GY44" s="8"/>
      <c r="GZ44" s="12" t="e">
        <f>GZ30+GZ35</f>
        <v>#REF!</v>
      </c>
      <c r="HA44" s="8"/>
      <c r="HB44" s="12" t="e">
        <f>HB30+HB35</f>
        <v>#REF!</v>
      </c>
      <c r="HE44" s="7" t="s">
        <v>42</v>
      </c>
      <c r="HF44" s="12" t="e">
        <f>HF30+HF35</f>
        <v>#REF!</v>
      </c>
      <c r="HG44" s="9"/>
      <c r="HH44" s="12" t="e">
        <f>HH30+HH35</f>
        <v>#REF!</v>
      </c>
      <c r="HI44" s="8"/>
      <c r="HJ44" s="64" t="e">
        <f>HJ30+HJ35</f>
        <v>#REF!</v>
      </c>
      <c r="HK44" s="8"/>
      <c r="HL44" s="12" t="e">
        <f>HL30+HL35</f>
        <v>#REF!</v>
      </c>
      <c r="HM44" s="8"/>
      <c r="HN44" s="12" t="e">
        <f>HN30+HN35</f>
        <v>#REF!</v>
      </c>
      <c r="HO44" s="8"/>
      <c r="HP44" s="12" t="e">
        <f>HP30+HP35</f>
        <v>#REF!</v>
      </c>
      <c r="HS44" s="7" t="s">
        <v>42</v>
      </c>
      <c r="HT44" s="12" t="e">
        <f>HT30+HT35</f>
        <v>#REF!</v>
      </c>
      <c r="HU44" s="9"/>
      <c r="HV44" s="12" t="e">
        <f>HV30+HV35</f>
        <v>#REF!</v>
      </c>
      <c r="HW44" s="8"/>
      <c r="HX44" s="64" t="e">
        <f>HX30+HX35</f>
        <v>#REF!</v>
      </c>
      <c r="HY44" s="8"/>
      <c r="HZ44" s="12" t="e">
        <f>HZ30+HZ35</f>
        <v>#REF!</v>
      </c>
      <c r="IA44" s="8"/>
      <c r="IB44" s="12" t="e">
        <f>IB30+IB35</f>
        <v>#REF!</v>
      </c>
      <c r="IC44" s="8"/>
      <c r="ID44" s="12" t="e">
        <f>ID30+ID35</f>
        <v>#REF!</v>
      </c>
      <c r="IG44" s="7" t="s">
        <v>42</v>
      </c>
      <c r="IH44" s="12" t="e">
        <f>IH30+IH35</f>
        <v>#REF!</v>
      </c>
      <c r="II44" s="9"/>
      <c r="IJ44" s="12" t="e">
        <f>IJ30+IJ35</f>
        <v>#REF!</v>
      </c>
      <c r="IK44" s="8"/>
      <c r="IL44" s="64" t="e">
        <f>IL30+IL35</f>
        <v>#REF!</v>
      </c>
      <c r="IM44" s="8"/>
      <c r="IN44" s="12" t="e">
        <f>IN30+IN35</f>
        <v>#REF!</v>
      </c>
      <c r="IO44" s="8"/>
      <c r="IP44" s="12" t="e">
        <f>IP30+IP35</f>
        <v>#REF!</v>
      </c>
      <c r="IQ44" s="8"/>
      <c r="IR44" s="12" t="e">
        <f>IR30+IR35</f>
        <v>#REF!</v>
      </c>
      <c r="IU44" s="7" t="s">
        <v>42</v>
      </c>
      <c r="IV44" s="12" t="e">
        <f>IV30+IV35</f>
        <v>#REF!</v>
      </c>
      <c r="IW44" s="9"/>
      <c r="IX44" s="12" t="e">
        <f>IX30+IX35</f>
        <v>#REF!</v>
      </c>
      <c r="IY44" s="8"/>
      <c r="IZ44" s="64" t="e">
        <f>IZ30+IZ35</f>
        <v>#REF!</v>
      </c>
      <c r="JA44" s="8"/>
      <c r="JB44" s="12" t="e">
        <f>JB30+JB35</f>
        <v>#REF!</v>
      </c>
      <c r="JC44" s="8"/>
      <c r="JD44" s="12" t="e">
        <f>JD30+JD35</f>
        <v>#REF!</v>
      </c>
      <c r="JE44" s="8"/>
      <c r="JF44" s="12" t="e">
        <f>JF30+JF35</f>
        <v>#REF!</v>
      </c>
      <c r="JI44" s="7" t="s">
        <v>42</v>
      </c>
      <c r="JJ44" s="12" t="e">
        <f>JJ30+JJ35</f>
        <v>#REF!</v>
      </c>
      <c r="JK44" s="9"/>
      <c r="JL44" s="12" t="e">
        <f>JL30+JL35</f>
        <v>#REF!</v>
      </c>
      <c r="JM44" s="8"/>
      <c r="JN44" s="64" t="e">
        <f>JN30+JN35</f>
        <v>#REF!</v>
      </c>
      <c r="JO44" s="8"/>
      <c r="JP44" s="12" t="e">
        <f>JP30+JP35</f>
        <v>#REF!</v>
      </c>
      <c r="JQ44" s="8"/>
      <c r="JR44" s="12" t="e">
        <f>JR30+JR35</f>
        <v>#REF!</v>
      </c>
      <c r="JS44" s="8"/>
      <c r="JT44" s="12" t="e">
        <f>JT30+JT35</f>
        <v>#REF!</v>
      </c>
      <c r="JW44" s="7" t="s">
        <v>42</v>
      </c>
      <c r="JX44" s="12" t="e">
        <f>JX30+JX35</f>
        <v>#REF!</v>
      </c>
      <c r="JY44" s="9"/>
      <c r="JZ44" s="12" t="e">
        <f>JZ30+JZ35</f>
        <v>#REF!</v>
      </c>
      <c r="KA44" s="8"/>
      <c r="KB44" s="64" t="e">
        <f>KB30+KB35</f>
        <v>#REF!</v>
      </c>
      <c r="KC44" s="8"/>
      <c r="KD44" s="12" t="e">
        <f>KD30+KD35</f>
        <v>#REF!</v>
      </c>
      <c r="KE44" s="8"/>
      <c r="KF44" s="12" t="e">
        <f>KF30+KF35</f>
        <v>#REF!</v>
      </c>
      <c r="KG44" s="8"/>
      <c r="KH44" s="12" t="e">
        <f>KH30+KH35</f>
        <v>#REF!</v>
      </c>
      <c r="KK44" s="7" t="s">
        <v>42</v>
      </c>
      <c r="KL44" s="12" t="e">
        <f>KL30+KL35</f>
        <v>#REF!</v>
      </c>
      <c r="KM44" s="9"/>
      <c r="KN44" s="12" t="e">
        <f>KN30+KN35</f>
        <v>#REF!</v>
      </c>
      <c r="KO44" s="8"/>
      <c r="KP44" s="64" t="e">
        <f>KP30+KP35</f>
        <v>#REF!</v>
      </c>
      <c r="KQ44" s="8"/>
      <c r="KR44" s="12" t="e">
        <f>KR30+KR35</f>
        <v>#REF!</v>
      </c>
      <c r="KS44" s="8"/>
      <c r="KT44" s="12" t="e">
        <f>KT30+KT35</f>
        <v>#REF!</v>
      </c>
      <c r="KU44" s="8"/>
      <c r="KV44" s="12" t="e">
        <f>KV30+KV35</f>
        <v>#REF!</v>
      </c>
      <c r="KY44" s="7" t="s">
        <v>42</v>
      </c>
      <c r="KZ44" s="12" t="e">
        <f>KZ30+KZ35</f>
        <v>#REF!</v>
      </c>
      <c r="LA44" s="9"/>
      <c r="LB44" s="12" t="e">
        <f>LB30+LB35</f>
        <v>#REF!</v>
      </c>
      <c r="LC44" s="8"/>
      <c r="LD44" s="64" t="e">
        <f>LD30+LD35</f>
        <v>#REF!</v>
      </c>
      <c r="LE44" s="8"/>
      <c r="LF44" s="12" t="e">
        <f>LF30+LF35</f>
        <v>#REF!</v>
      </c>
      <c r="LG44" s="8"/>
      <c r="LH44" s="12" t="e">
        <f>LH30+LH35</f>
        <v>#REF!</v>
      </c>
      <c r="LI44" s="8"/>
      <c r="LJ44" s="12" t="e">
        <f>LJ30+LJ35</f>
        <v>#REF!</v>
      </c>
      <c r="LM44" s="7" t="s">
        <v>42</v>
      </c>
      <c r="LN44" s="12" t="e">
        <f>LN30+LN35</f>
        <v>#REF!</v>
      </c>
      <c r="LO44" s="9"/>
      <c r="LP44" s="12" t="e">
        <f>LP30+LP35</f>
        <v>#REF!</v>
      </c>
      <c r="LQ44" s="8"/>
      <c r="LR44" s="56" t="e">
        <f>LR30+LR35</f>
        <v>#REF!</v>
      </c>
      <c r="LS44" s="8"/>
      <c r="LT44" s="12" t="e">
        <f>LT30+LT35</f>
        <v>#REF!</v>
      </c>
      <c r="LU44" s="8"/>
      <c r="LV44" s="12" t="e">
        <f>LV30+LV35</f>
        <v>#REF!</v>
      </c>
      <c r="LW44" s="8"/>
      <c r="LX44" s="12" t="e">
        <f>LX30+LX35</f>
        <v>#REF!</v>
      </c>
      <c r="LZ44" s="7" t="s">
        <v>42</v>
      </c>
      <c r="MA44" s="12" t="e">
        <f>MA30+MA35</f>
        <v>#REF!</v>
      </c>
      <c r="MB44" s="9"/>
      <c r="MC44" s="12" t="e">
        <f>MC30+MC35</f>
        <v>#REF!</v>
      </c>
      <c r="MD44" s="8"/>
      <c r="ME44" s="56" t="e">
        <f>ME30+ME35</f>
        <v>#REF!</v>
      </c>
      <c r="MF44" s="63"/>
      <c r="MG44" s="12" t="e">
        <f>MG30+MG35</f>
        <v>#REF!</v>
      </c>
      <c r="MH44" s="8"/>
      <c r="MI44" s="12" t="e">
        <f>MI30+MI35</f>
        <v>#REF!</v>
      </c>
      <c r="MJ44" s="8"/>
      <c r="MK44" s="12" t="e">
        <f>MK30+MK35</f>
        <v>#REF!</v>
      </c>
      <c r="ML44" s="8"/>
      <c r="MM44" s="7" t="s">
        <v>42</v>
      </c>
      <c r="MN44" s="12" t="e">
        <f>MN30+MN35</f>
        <v>#REF!</v>
      </c>
      <c r="MO44" s="9"/>
      <c r="MP44" s="12" t="e">
        <f>MP30+MP35</f>
        <v>#REF!</v>
      </c>
      <c r="MQ44" s="8"/>
      <c r="MR44" s="64" t="e">
        <f>MR30+MR35</f>
        <v>#REF!</v>
      </c>
      <c r="MS44" s="8"/>
      <c r="MT44" s="12" t="e">
        <f>MT30+MT35</f>
        <v>#REF!</v>
      </c>
      <c r="MU44" s="8"/>
      <c r="MV44" s="12" t="e">
        <f>MV30+MV35</f>
        <v>#REF!</v>
      </c>
      <c r="MW44" s="8"/>
      <c r="MX44" s="12" t="e">
        <f>MX30+MX35</f>
        <v>#REF!</v>
      </c>
      <c r="NA44" s="7" t="s">
        <v>42</v>
      </c>
      <c r="NB44" s="12" t="e">
        <f>NB30+NB35</f>
        <v>#REF!</v>
      </c>
      <c r="NC44" s="9"/>
      <c r="ND44" s="12" t="e">
        <f>ND30+ND35</f>
        <v>#REF!</v>
      </c>
      <c r="NE44" s="8"/>
      <c r="NF44" s="64" t="e">
        <f>NF30+NF35</f>
        <v>#REF!</v>
      </c>
      <c r="NG44" s="8"/>
      <c r="NH44" s="12" t="e">
        <f>NH30+NH35</f>
        <v>#REF!</v>
      </c>
      <c r="NI44" s="8"/>
      <c r="NJ44" s="12" t="e">
        <f>NJ30+NJ35</f>
        <v>#REF!</v>
      </c>
      <c r="NK44" s="8"/>
      <c r="NL44" s="12" t="e">
        <f>NL30+NL35</f>
        <v>#REF!</v>
      </c>
      <c r="NO44" s="7" t="s">
        <v>42</v>
      </c>
      <c r="NP44" s="12" t="e">
        <f>NP30+NP35</f>
        <v>#REF!</v>
      </c>
      <c r="NQ44" s="9"/>
      <c r="NR44" s="12" t="e">
        <f>NR30+NR35</f>
        <v>#REF!</v>
      </c>
      <c r="NS44" s="8"/>
      <c r="NT44" s="56" t="e">
        <f>NT30+NT35</f>
        <v>#REF!</v>
      </c>
      <c r="NU44" s="8"/>
      <c r="NV44" s="12" t="e">
        <f>NV30+NV35</f>
        <v>#REF!</v>
      </c>
      <c r="NW44" s="8"/>
      <c r="NX44" s="12" t="e">
        <f>NX30+NX35</f>
        <v>#REF!</v>
      </c>
      <c r="NY44" s="8"/>
      <c r="NZ44" s="12" t="e">
        <f>NZ30+NZ35</f>
        <v>#REF!</v>
      </c>
      <c r="OB44" s="7" t="s">
        <v>42</v>
      </c>
      <c r="OC44" s="12" t="e">
        <f>OC30+OC35</f>
        <v>#REF!</v>
      </c>
      <c r="OD44" s="9"/>
      <c r="OE44" s="12" t="e">
        <f>OE30+OE35</f>
        <v>#REF!</v>
      </c>
      <c r="OF44" s="8"/>
      <c r="OG44" s="56" t="e">
        <f>OG30+OG35</f>
        <v>#REF!</v>
      </c>
      <c r="OH44" s="63"/>
      <c r="OI44" s="12" t="e">
        <f>OI30+OI35</f>
        <v>#REF!</v>
      </c>
      <c r="OJ44" s="8"/>
      <c r="OK44" s="12" t="e">
        <f>OK30+OK35</f>
        <v>#REF!</v>
      </c>
      <c r="OL44" s="8"/>
      <c r="OM44" s="12" t="e">
        <f>OM30+OM35</f>
        <v>#REF!</v>
      </c>
      <c r="OO44" s="7" t="s">
        <v>42</v>
      </c>
      <c r="OP44" s="46" t="e">
        <f>OP30+OP35</f>
        <v>#REF!</v>
      </c>
      <c r="OQ44" s="45"/>
      <c r="OR44" s="46" t="e">
        <f>OR30+OR35</f>
        <v>#REF!</v>
      </c>
      <c r="OS44" s="44"/>
      <c r="OT44" s="59" t="e">
        <f>OT30+OT35</f>
        <v>#REF!</v>
      </c>
      <c r="OU44" s="44"/>
      <c r="OV44" s="46" t="e">
        <f>OV30+OV35</f>
        <v>#REF!</v>
      </c>
      <c r="OW44" s="44"/>
      <c r="OX44" s="46" t="e">
        <f>OX30+OX35</f>
        <v>#REF!</v>
      </c>
      <c r="OY44" s="44"/>
      <c r="OZ44" s="46" t="e">
        <f>OZ30+OZ35</f>
        <v>#REF!</v>
      </c>
      <c r="PB44" s="7" t="s">
        <v>42</v>
      </c>
      <c r="PC44" s="12" t="e">
        <f>PC30+PC35</f>
        <v>#REF!</v>
      </c>
      <c r="PD44" s="9"/>
      <c r="PE44" s="12" t="e">
        <f>PE30+PE35</f>
        <v>#REF!</v>
      </c>
      <c r="PF44" s="8"/>
      <c r="PG44" s="41" t="e">
        <f>PG30+PG35</f>
        <v>#REF!</v>
      </c>
      <c r="PH44" s="12"/>
      <c r="PI44" s="12" t="e">
        <f>PI30+PI35</f>
        <v>#REF!</v>
      </c>
      <c r="PJ44" s="8"/>
      <c r="PK44" s="12" t="e">
        <f>PK30+PK35</f>
        <v>#REF!</v>
      </c>
      <c r="PL44" s="8"/>
      <c r="PM44" s="12" t="e">
        <f>PM30+PM35</f>
        <v>#REF!</v>
      </c>
      <c r="PO44" s="7" t="s">
        <v>42</v>
      </c>
      <c r="PP44" s="12" t="e">
        <f>PP30+PP35</f>
        <v>#REF!</v>
      </c>
      <c r="PQ44" s="9"/>
      <c r="PR44" s="12" t="e">
        <f>PR30+PR35</f>
        <v>#REF!</v>
      </c>
      <c r="PS44" s="8"/>
      <c r="PT44" s="41" t="e">
        <f>PT30+PT35</f>
        <v>#REF!</v>
      </c>
      <c r="PU44" s="12"/>
      <c r="PV44" s="12" t="e">
        <f>PV30+PV35</f>
        <v>#REF!</v>
      </c>
      <c r="PW44" s="8"/>
      <c r="PX44" s="12" t="e">
        <f>PX30+PX35</f>
        <v>#REF!</v>
      </c>
      <c r="PY44" s="8"/>
      <c r="PZ44" s="12" t="e">
        <f>PZ30+PZ35</f>
        <v>#REF!</v>
      </c>
      <c r="QB44" s="7" t="s">
        <v>42</v>
      </c>
      <c r="QC44" s="12" t="e">
        <f>QC30+QC35</f>
        <v>#REF!</v>
      </c>
      <c r="QD44" s="9"/>
      <c r="QE44" s="12" t="e">
        <f>QE30+QE35</f>
        <v>#REF!</v>
      </c>
      <c r="QF44" s="8"/>
      <c r="QG44" s="41">
        <f>QG30+QG35</f>
        <v>0</v>
      </c>
      <c r="QH44" s="12"/>
      <c r="QI44" s="12" t="e">
        <f>QI30+QI35</f>
        <v>#REF!</v>
      </c>
      <c r="QJ44" s="8"/>
      <c r="QK44" s="12" t="e">
        <f>QK30+QK35</f>
        <v>#REF!</v>
      </c>
      <c r="QL44" s="8"/>
      <c r="QM44" s="12" t="e">
        <f>QM30+QM35</f>
        <v>#REF!</v>
      </c>
      <c r="QO44" s="7" t="s">
        <v>42</v>
      </c>
      <c r="QP44" s="12" t="e">
        <f>QP30+QP35</f>
        <v>#REF!</v>
      </c>
      <c r="QQ44" s="9"/>
      <c r="QR44" s="12" t="e">
        <f>QR30+QR35</f>
        <v>#REF!</v>
      </c>
      <c r="QS44" s="8"/>
      <c r="QT44" s="12" t="e">
        <f>QT30+QT35</f>
        <v>#REF!</v>
      </c>
      <c r="QU44" s="12"/>
      <c r="QV44" s="12" t="e">
        <f>QV30+QV35</f>
        <v>#REF!</v>
      </c>
      <c r="QW44" s="8"/>
      <c r="QX44" s="12" t="e">
        <f>QX30+QX35</f>
        <v>#REF!</v>
      </c>
      <c r="QY44" s="8"/>
      <c r="QZ44" s="12" t="e">
        <f>QZ30+QZ35</f>
        <v>#REF!</v>
      </c>
      <c r="RB44" s="7" t="s">
        <v>42</v>
      </c>
      <c r="RC44" s="12" t="e">
        <f>RC30+RC35</f>
        <v>#REF!</v>
      </c>
      <c r="RD44" s="9"/>
      <c r="RE44" s="12" t="e">
        <f>RE30+RE35</f>
        <v>#REF!</v>
      </c>
      <c r="RF44" s="8"/>
      <c r="RG44" s="12" t="e">
        <f>RG30+RG35</f>
        <v>#REF!</v>
      </c>
      <c r="RH44" s="12"/>
      <c r="RI44" s="12" t="e">
        <f>RI30+RI35</f>
        <v>#REF!</v>
      </c>
      <c r="RJ44" s="8"/>
      <c r="RK44" s="12" t="e">
        <f>RK30+RK35</f>
        <v>#REF!</v>
      </c>
      <c r="RL44" s="8"/>
      <c r="RM44" s="12" t="e">
        <f>RM30+RM35</f>
        <v>#REF!</v>
      </c>
      <c r="RO44" s="7" t="s">
        <v>42</v>
      </c>
      <c r="RP44" s="12" t="e">
        <f>RP30+RP35</f>
        <v>#REF!</v>
      </c>
      <c r="RQ44" s="9"/>
      <c r="RR44" s="12" t="e">
        <f>RR30+RR35</f>
        <v>#REF!</v>
      </c>
      <c r="RS44" s="8"/>
      <c r="RT44" s="12" t="e">
        <f>RT30+RT35</f>
        <v>#REF!</v>
      </c>
      <c r="RU44" s="12"/>
      <c r="RV44" s="12" t="e">
        <f>RV30+RV35</f>
        <v>#REF!</v>
      </c>
      <c r="RW44" s="8"/>
      <c r="RX44" s="12" t="e">
        <f>RX30+RX35</f>
        <v>#REF!</v>
      </c>
      <c r="RY44" s="8"/>
      <c r="RZ44" s="46" t="e">
        <f>RZ30+RZ35</f>
        <v>#REF!</v>
      </c>
      <c r="SB44" s="7" t="s">
        <v>42</v>
      </c>
      <c r="SC44" s="12" t="e">
        <f>SC30+SC35</f>
        <v>#REF!</v>
      </c>
      <c r="SD44" s="9"/>
      <c r="SE44" s="12" t="e">
        <f>SE30+SE35</f>
        <v>#REF!</v>
      </c>
      <c r="SF44" s="8"/>
      <c r="SG44" s="12" t="e">
        <f>SG30+SG35</f>
        <v>#REF!</v>
      </c>
      <c r="SH44" s="12"/>
      <c r="SI44" s="12" t="e">
        <f>SI30+SI35</f>
        <v>#REF!</v>
      </c>
      <c r="SJ44" s="8"/>
      <c r="SK44" s="12" t="e">
        <f>SK30+SK35</f>
        <v>#REF!</v>
      </c>
      <c r="SL44" s="8"/>
      <c r="SM44" s="12" t="e">
        <f>SM30+SM35</f>
        <v>#REF!</v>
      </c>
      <c r="SO44" s="7" t="s">
        <v>42</v>
      </c>
      <c r="SP44" s="12" t="e">
        <f>SP30+SP35</f>
        <v>#REF!</v>
      </c>
      <c r="SQ44" s="9"/>
      <c r="SR44" s="12" t="e">
        <f>SR30+SR35</f>
        <v>#REF!</v>
      </c>
      <c r="SS44" s="8"/>
      <c r="ST44" s="12" t="e">
        <f>ST30+ST35</f>
        <v>#REF!</v>
      </c>
      <c r="SU44" s="12">
        <f>SU30+SU35</f>
        <v>0</v>
      </c>
      <c r="SV44" s="12" t="e">
        <f>SV30+SV35</f>
        <v>#REF!</v>
      </c>
      <c r="SW44" s="8"/>
      <c r="SX44" s="12" t="e">
        <f>SX30+SX35</f>
        <v>#REF!</v>
      </c>
      <c r="SY44" s="8"/>
      <c r="SZ44" s="12" t="e">
        <f>SZ30+SZ35</f>
        <v>#REF!</v>
      </c>
      <c r="TB44" s="7" t="s">
        <v>42</v>
      </c>
      <c r="TC44" s="12" t="e">
        <f>TC30+TC35</f>
        <v>#REF!</v>
      </c>
      <c r="TD44" s="9"/>
      <c r="TE44" s="12" t="e">
        <f>TE30+TE35</f>
        <v>#REF!</v>
      </c>
      <c r="TF44" s="8"/>
      <c r="TG44" s="12" t="e">
        <f>TG30+TG35</f>
        <v>#REF!</v>
      </c>
      <c r="TH44" s="12">
        <f>TH30+TH35</f>
        <v>0</v>
      </c>
      <c r="TI44" s="12" t="e">
        <f>TI30+TI35</f>
        <v>#REF!</v>
      </c>
      <c r="TJ44" s="8"/>
      <c r="TK44" s="12" t="e">
        <f>TK30+TK35</f>
        <v>#REF!</v>
      </c>
      <c r="TL44" s="8"/>
      <c r="TM44" s="12" t="e">
        <f>TM30+TM35</f>
        <v>#REF!</v>
      </c>
      <c r="TO44" s="7" t="s">
        <v>42</v>
      </c>
      <c r="TP44" s="12" t="e">
        <f>TP30+TP35</f>
        <v>#REF!</v>
      </c>
      <c r="TQ44" s="9"/>
      <c r="TR44" s="12" t="e">
        <f>TR30+TR35</f>
        <v>#REF!</v>
      </c>
      <c r="TS44" s="8"/>
      <c r="TT44" s="12" t="e">
        <f>TT30+TT35</f>
        <v>#REF!</v>
      </c>
      <c r="TU44" s="12">
        <f>TU30+TU35</f>
        <v>0</v>
      </c>
      <c r="TV44" s="12" t="e">
        <f>TV30+TV35</f>
        <v>#REF!</v>
      </c>
      <c r="TW44" s="8"/>
      <c r="TX44" s="12" t="e">
        <f>TX30+TX35</f>
        <v>#REF!</v>
      </c>
      <c r="TY44" s="8"/>
      <c r="TZ44" s="12" t="e">
        <f>TZ30+TZ35</f>
        <v>#REF!</v>
      </c>
      <c r="UB44" s="7" t="s">
        <v>42</v>
      </c>
      <c r="UC44" s="12" t="e">
        <f>UC30+UC35</f>
        <v>#REF!</v>
      </c>
      <c r="UD44" s="9"/>
      <c r="UE44" s="12" t="e">
        <f>UE30+UE35</f>
        <v>#REF!</v>
      </c>
      <c r="UF44" s="8"/>
      <c r="UG44" s="12" t="e">
        <f>UG30+UG35</f>
        <v>#REF!</v>
      </c>
      <c r="UH44" s="12">
        <f>UH30+UH35</f>
        <v>0</v>
      </c>
      <c r="UI44" s="12" t="e">
        <f>UI30+UI35</f>
        <v>#REF!</v>
      </c>
      <c r="UJ44" s="8"/>
      <c r="UK44" s="12" t="e">
        <f>UK30+UK35</f>
        <v>#REF!</v>
      </c>
      <c r="UL44" s="8"/>
      <c r="UM44" s="12" t="e">
        <f>UM30+UM35</f>
        <v>#REF!</v>
      </c>
      <c r="UO44" s="7" t="s">
        <v>42</v>
      </c>
      <c r="UP44" s="12" t="e">
        <f>UP30+UP35</f>
        <v>#REF!</v>
      </c>
      <c r="UQ44" s="9"/>
      <c r="UR44" s="12" t="e">
        <f>UR30+UR35</f>
        <v>#REF!</v>
      </c>
      <c r="US44" s="8"/>
      <c r="UT44" s="12" t="e">
        <f>UT30+UT35</f>
        <v>#REF!</v>
      </c>
      <c r="UU44" s="12">
        <f>UU30+UU35</f>
        <v>0</v>
      </c>
      <c r="UV44" s="12" t="e">
        <f>UV30+UV35</f>
        <v>#REF!</v>
      </c>
      <c r="UW44" s="8"/>
      <c r="UX44" s="12" t="e">
        <f>UX30+UX35</f>
        <v>#REF!</v>
      </c>
      <c r="UY44" s="8"/>
      <c r="UZ44" s="12" t="e">
        <f>UZ30+UZ35</f>
        <v>#REF!</v>
      </c>
      <c r="VB44" s="7" t="s">
        <v>42</v>
      </c>
      <c r="VC44" s="12" t="e">
        <f>VC30+VC35</f>
        <v>#REF!</v>
      </c>
      <c r="VD44" s="9"/>
      <c r="VE44" s="12" t="e">
        <f>VE30+VE35</f>
        <v>#REF!</v>
      </c>
      <c r="VF44" s="8"/>
      <c r="VG44" s="12" t="e">
        <f>VG30+VG35</f>
        <v>#REF!</v>
      </c>
      <c r="VH44" s="12">
        <f>VH30+VH35</f>
        <v>0</v>
      </c>
      <c r="VI44" s="12" t="e">
        <f>VI30+VI35</f>
        <v>#REF!</v>
      </c>
      <c r="VJ44" s="8"/>
      <c r="VK44" s="12" t="e">
        <f>VK30+VK35</f>
        <v>#REF!</v>
      </c>
      <c r="VL44" s="8"/>
      <c r="VM44" s="12" t="e">
        <f>VM30+VM35</f>
        <v>#REF!</v>
      </c>
      <c r="VO44" s="7" t="s">
        <v>42</v>
      </c>
      <c r="VP44" s="12" t="e">
        <f>VP30+VP35</f>
        <v>#REF!</v>
      </c>
      <c r="VQ44" s="9"/>
      <c r="VR44" s="12" t="e">
        <f>VR30+VR35</f>
        <v>#REF!</v>
      </c>
      <c r="VS44" s="8"/>
      <c r="VT44" s="12" t="e">
        <f>VT30+VT35</f>
        <v>#REF!</v>
      </c>
      <c r="VU44" s="12">
        <f>VU30+VU35</f>
        <v>0</v>
      </c>
      <c r="VV44" s="12" t="e">
        <f>VV30+VV35</f>
        <v>#REF!</v>
      </c>
      <c r="VW44" s="8"/>
      <c r="VX44" s="12" t="e">
        <f>VX30+VX35</f>
        <v>#REF!</v>
      </c>
      <c r="VY44" s="8"/>
      <c r="VZ44" s="12" t="e">
        <f>VZ30+VZ35</f>
        <v>#REF!</v>
      </c>
      <c r="WB44" s="7" t="s">
        <v>42</v>
      </c>
      <c r="WC44" s="12" t="e">
        <f>WC30+WC35</f>
        <v>#REF!</v>
      </c>
      <c r="WD44" s="9"/>
      <c r="WE44" s="12" t="e">
        <f>WE30+WE35</f>
        <v>#REF!</v>
      </c>
      <c r="WF44" s="8"/>
      <c r="WG44" s="12" t="e">
        <f>WG30+WG35</f>
        <v>#REF!</v>
      </c>
      <c r="WH44" s="12">
        <f>WH30+WH35</f>
        <v>0</v>
      </c>
      <c r="WI44" s="12" t="e">
        <f>WI30+WI35</f>
        <v>#REF!</v>
      </c>
      <c r="WJ44" s="8"/>
      <c r="WK44" s="12" t="e">
        <f>WK30+WK35</f>
        <v>#REF!</v>
      </c>
      <c r="WL44" s="8"/>
      <c r="WM44" s="12" t="e">
        <f>WM30+WM35</f>
        <v>#REF!</v>
      </c>
      <c r="WO44" s="7" t="s">
        <v>42</v>
      </c>
      <c r="WP44" s="12" t="e">
        <f>WP30+WP35</f>
        <v>#REF!</v>
      </c>
      <c r="WQ44" s="9"/>
      <c r="WR44" s="12" t="e">
        <f>WR30+WR35</f>
        <v>#REF!</v>
      </c>
      <c r="WS44" s="8"/>
      <c r="WT44" s="12" t="e">
        <f>WT30+WT35</f>
        <v>#REF!</v>
      </c>
      <c r="WU44" s="12">
        <f>WU30+WU35</f>
        <v>0</v>
      </c>
      <c r="WV44" s="12" t="e">
        <f>WV30+WV35</f>
        <v>#REF!</v>
      </c>
      <c r="WW44" s="8"/>
      <c r="WX44" s="12" t="e">
        <f>WX30+WX35</f>
        <v>#REF!</v>
      </c>
      <c r="WY44" s="8"/>
      <c r="WZ44" s="12" t="e">
        <f>WZ30+WZ35</f>
        <v>#REF!</v>
      </c>
      <c r="XB44" s="7" t="s">
        <v>42</v>
      </c>
      <c r="XC44" s="12" t="e">
        <f>XC30+XC35</f>
        <v>#REF!</v>
      </c>
      <c r="XD44" s="9"/>
      <c r="XE44" s="12" t="e">
        <f>XE30+XE35</f>
        <v>#REF!</v>
      </c>
      <c r="XF44" s="8"/>
      <c r="XG44" s="12" t="e">
        <f>XG30+XG35</f>
        <v>#REF!</v>
      </c>
      <c r="XH44" s="12">
        <f>XH30+XH35</f>
        <v>0</v>
      </c>
      <c r="XI44" s="12" t="e">
        <f>XI30+XI35</f>
        <v>#REF!</v>
      </c>
      <c r="XJ44" s="8"/>
      <c r="XK44" s="12" t="e">
        <f>XK30+XK35</f>
        <v>#REF!</v>
      </c>
      <c r="XL44" s="8"/>
      <c r="XM44" s="12" t="e">
        <f>XM30+XM35</f>
        <v>#REF!</v>
      </c>
      <c r="XO44" s="7" t="s">
        <v>42</v>
      </c>
      <c r="XP44" s="12" t="e">
        <f>XP30+XP35</f>
        <v>#REF!</v>
      </c>
      <c r="XQ44" s="9"/>
      <c r="XR44" s="12" t="e">
        <f>XR30+XR35</f>
        <v>#REF!</v>
      </c>
      <c r="XS44" s="8"/>
      <c r="XT44" s="12" t="e">
        <f>XT30+XT35</f>
        <v>#REF!</v>
      </c>
      <c r="XU44" s="12">
        <f>XU30+XU35</f>
        <v>0</v>
      </c>
      <c r="XV44" s="12" t="e">
        <f>XV30+XV35</f>
        <v>#REF!</v>
      </c>
      <c r="XW44" s="8"/>
      <c r="XX44" s="12" t="e">
        <f>XX30+XX35</f>
        <v>#REF!</v>
      </c>
      <c r="XY44" s="8"/>
      <c r="XZ44" s="12" t="e">
        <f>XZ30+XZ35</f>
        <v>#REF!</v>
      </c>
      <c r="YB44" s="7" t="s">
        <v>42</v>
      </c>
      <c r="YC44" s="12" t="e">
        <f>YC30+YC35</f>
        <v>#REF!</v>
      </c>
      <c r="YD44" s="9"/>
      <c r="YE44" s="12" t="e">
        <f>YE30+YE35</f>
        <v>#REF!</v>
      </c>
      <c r="YF44" s="8"/>
      <c r="YG44" s="12" t="e">
        <f>YG30+YG35</f>
        <v>#REF!</v>
      </c>
      <c r="YH44" s="12">
        <f>YH30+YH35</f>
        <v>0</v>
      </c>
      <c r="YI44" s="12" t="e">
        <f>YI30+YI35</f>
        <v>#REF!</v>
      </c>
      <c r="YJ44" s="8"/>
      <c r="YK44" s="12" t="e">
        <f>YK30+YK35</f>
        <v>#REF!</v>
      </c>
      <c r="YL44" s="8"/>
      <c r="YM44" s="12" t="e">
        <f>YM30+YM35</f>
        <v>#REF!</v>
      </c>
      <c r="YO44" s="7"/>
      <c r="YP44" s="12"/>
      <c r="YQ44" s="9"/>
      <c r="YR44" s="12"/>
      <c r="YS44" s="8"/>
      <c r="YT44" s="12"/>
      <c r="YU44" s="12"/>
      <c r="YV44" s="12"/>
      <c r="YW44" s="8"/>
      <c r="YX44" s="12"/>
      <c r="YY44" s="8"/>
      <c r="YZ44" s="12"/>
    </row>
    <row r="45" spans="1:676">
      <c r="A45" s="4" t="s">
        <v>17</v>
      </c>
      <c r="B45" s="2">
        <f>B19-R19</f>
        <v>-2741221.7245914359</v>
      </c>
      <c r="D45" s="2">
        <f>D19-T19</f>
        <v>-904165.70497284364</v>
      </c>
      <c r="F45" s="2">
        <f>F19-V19</f>
        <v>-243829.16499999329</v>
      </c>
      <c r="H45" s="2">
        <f>H19-X19</f>
        <v>-189521.04499999969</v>
      </c>
      <c r="J45" s="2">
        <f>J19-Z19</f>
        <v>-1489869.9352620812</v>
      </c>
      <c r="L45" s="2">
        <f>L19-AB19</f>
        <v>47016.649999999994</v>
      </c>
      <c r="N45" s="2">
        <f t="shared" ref="N45" si="461">SUM(B45:L45)</f>
        <v>-5521590.9248263538</v>
      </c>
      <c r="Q45" s="4" t="s">
        <v>17</v>
      </c>
      <c r="R45" s="2">
        <f>R19-AH19</f>
        <v>-2527561.0692562908</v>
      </c>
      <c r="T45" s="2">
        <f>T19-AJ19</f>
        <v>-895282.50295912381</v>
      </c>
      <c r="V45" s="2">
        <f>V19-AL19</f>
        <v>-265391.58000000619</v>
      </c>
      <c r="W45" s="2"/>
      <c r="X45" s="2">
        <f>X19-AN19</f>
        <v>-139959.97999999853</v>
      </c>
      <c r="Z45" s="2">
        <f>Z19-AP19</f>
        <v>-1526207.8662564158</v>
      </c>
      <c r="AB45" s="2">
        <f>AB19-AR19</f>
        <v>46362.5</v>
      </c>
      <c r="AD45" s="61">
        <f t="shared" ref="AD45" si="462">SUM(R45:AB45)</f>
        <v>-5308040.4984718356</v>
      </c>
      <c r="AG45" s="4" t="s">
        <v>17</v>
      </c>
      <c r="AH45" s="2">
        <f>AH19-AX19</f>
        <v>-2325944.4932107278</v>
      </c>
      <c r="AJ45" s="2">
        <f>AJ19-AZ19</f>
        <v>-864040.70490460179</v>
      </c>
      <c r="AL45" s="2">
        <f>AL19-BB19</f>
        <v>-220688.07250000047</v>
      </c>
      <c r="AM45" s="2"/>
      <c r="AN45" s="2">
        <f>AN19-BD19</f>
        <v>-148592.23750000179</v>
      </c>
      <c r="AP45" s="2">
        <f>AP19-BF19</f>
        <v>-1638738.4718460734</v>
      </c>
      <c r="AR45" s="2">
        <f>AR19-BH19</f>
        <v>47460.42</v>
      </c>
      <c r="AT45" s="61">
        <f t="shared" ref="AT45" si="463">SUM(AH45:AR45)</f>
        <v>-5150543.5599614047</v>
      </c>
      <c r="AW45" s="4" t="s">
        <v>17</v>
      </c>
      <c r="AX45" s="2">
        <f t="shared" ref="AX45" si="464">AX19</f>
        <v>-2156093.0129415463</v>
      </c>
      <c r="AZ45" s="2">
        <f t="shared" ref="AZ45" si="465">AZ19</f>
        <v>-889963.47716343089</v>
      </c>
      <c r="BB45" s="2">
        <f t="shared" ref="BB45" si="466">BB19</f>
        <v>-221120.07250000007</v>
      </c>
      <c r="BC45" s="2"/>
      <c r="BD45" s="2">
        <f t="shared" ref="BD45" si="467">BD19</f>
        <v>-116240.67749999995</v>
      </c>
      <c r="BF45" s="2">
        <f t="shared" ref="BF45" si="468">BF19</f>
        <v>-1654221.4066354292</v>
      </c>
      <c r="BH45" s="2">
        <f t="shared" ref="BH45" si="469">BH19</f>
        <v>47460.42</v>
      </c>
      <c r="BJ45" s="2">
        <f>SUM(AX45:BH45)</f>
        <v>-4990178.2267404068</v>
      </c>
      <c r="BM45" s="4" t="s">
        <v>17</v>
      </c>
      <c r="BN45" s="2">
        <f t="shared" ref="BN45" si="470">BN19-CD19</f>
        <v>-1997086.884523707</v>
      </c>
      <c r="BP45" s="2">
        <f t="shared" ref="BP45" si="471">BP19-CF19</f>
        <v>-863246.79841185594</v>
      </c>
      <c r="BR45" s="2">
        <f t="shared" ref="BR45" si="472">BR19-CH19</f>
        <v>-205880.82249999512</v>
      </c>
      <c r="BT45" s="2">
        <f t="shared" ref="BT45" si="473">BT19-CJ19</f>
        <v>-115045.96750000003</v>
      </c>
      <c r="BV45" s="2">
        <f t="shared" ref="BV45" si="474">BV19-CL19</f>
        <v>-1616821.4869381823</v>
      </c>
      <c r="BX45" s="2">
        <f t="shared" ref="BX45" si="475">BX19-CN19</f>
        <v>130275.85999999999</v>
      </c>
      <c r="BZ45" s="2">
        <f>SUM(BN45:BX45)</f>
        <v>-4667806.0998737402</v>
      </c>
      <c r="CC45" s="4" t="s">
        <v>17</v>
      </c>
      <c r="CD45" s="2">
        <f>CD19-CT19</f>
        <v>-1218090.2267154045</v>
      </c>
      <c r="CF45" s="2">
        <f>CF19-CV19</f>
        <v>-848131.81719604786</v>
      </c>
      <c r="CH45" s="2">
        <f>CH19-CX19</f>
        <v>-223985.50250000402</v>
      </c>
      <c r="CI45" s="2"/>
      <c r="CJ45" s="2">
        <f>CJ19-CZ19</f>
        <v>-70674.167499999952</v>
      </c>
      <c r="CL45" s="2">
        <f>CL19-DB19</f>
        <v>-1619857.1696363813</v>
      </c>
      <c r="CN45" s="2">
        <f>CN19-DD19</f>
        <v>48605.78846616573</v>
      </c>
      <c r="CP45" s="2">
        <f>SUM(CD45:CN45)</f>
        <v>-3932133.0950816721</v>
      </c>
      <c r="CS45" s="4" t="s">
        <v>17</v>
      </c>
      <c r="CT45" s="2">
        <f t="shared" ref="CT45" si="476">CT19-DJ19</f>
        <v>-1284558.0053055147</v>
      </c>
      <c r="CV45" s="2">
        <f t="shared" ref="CV45" si="477">CV19-DL19</f>
        <v>-851280.11719604803</v>
      </c>
      <c r="CX45" s="2">
        <f t="shared" ref="CX45" si="478">CX19-DN19</f>
        <v>-224716.79250000097</v>
      </c>
      <c r="CY45" s="2"/>
      <c r="CZ45" s="2">
        <f t="shared" ref="CZ45" si="479">CZ19-DP19</f>
        <v>-55813.69749999998</v>
      </c>
      <c r="DB45" s="2">
        <f t="shared" ref="DB45" si="480">DB19-DR19</f>
        <v>-1619119.1787000473</v>
      </c>
      <c r="DD45" s="2">
        <f t="shared" ref="DD45" si="481">DD19-DT19</f>
        <v>48605.791533834265</v>
      </c>
      <c r="DF45" s="2">
        <f>SUM(CT45:DD45)</f>
        <v>-3986881.9996677767</v>
      </c>
      <c r="DI45" s="4" t="s">
        <v>17</v>
      </c>
      <c r="DJ45" s="2">
        <f t="shared" ref="DJ45" si="482">DJ19</f>
        <v>-1221865.8934553736</v>
      </c>
      <c r="DL45" s="2">
        <f t="shared" ref="DL45" si="483">DL19</f>
        <v>-845248.16719604807</v>
      </c>
      <c r="DN45" s="2">
        <f t="shared" ref="DN45" si="484">DN19</f>
        <v>-219855.99249999999</v>
      </c>
      <c r="DO45" s="2"/>
      <c r="DP45" s="2">
        <f t="shared" ref="DP45" si="485">DP19</f>
        <v>-56974.587500000023</v>
      </c>
      <c r="DR45" s="2">
        <f t="shared" ref="DR45" si="486">DR19</f>
        <v>-1650906.4047253893</v>
      </c>
      <c r="DT45" s="2">
        <f t="shared" ref="DT45" si="487">DT19</f>
        <v>48605.79</v>
      </c>
      <c r="DV45" s="2">
        <f>SUM(DJ45:DT45)</f>
        <v>-3946245.2553768111</v>
      </c>
      <c r="DY45" s="4" t="s">
        <v>17</v>
      </c>
      <c r="DZ45" s="2">
        <f t="shared" ref="DZ45" si="488">DZ19-EN19</f>
        <v>-1089926.2766532232</v>
      </c>
      <c r="EB45" s="2">
        <f t="shared" ref="EB45" si="489">EB19-EP19</f>
        <v>-848881.17492090585</v>
      </c>
      <c r="ED45" s="2">
        <f t="shared" ref="ED45" si="490">ED19-ER19</f>
        <v>-294213.76000000257</v>
      </c>
      <c r="EF45" s="2">
        <f t="shared" ref="EF45" si="491">EF19-ET19</f>
        <v>-1708787.3180494336</v>
      </c>
      <c r="EH45" s="2">
        <f t="shared" ref="EH45" si="492">EH19-EV19</f>
        <v>48605.785250000015</v>
      </c>
      <c r="EJ45" s="2">
        <f>SUM(DZ45:EH45)</f>
        <v>-3893202.7443735651</v>
      </c>
      <c r="EM45" s="4" t="s">
        <v>17</v>
      </c>
      <c r="EN45" s="2">
        <f t="shared" ref="EN45" si="493">EN19-FB19</f>
        <v>-1273328.1117263366</v>
      </c>
      <c r="EP45" s="2">
        <f t="shared" ref="EP45" si="494">EP19-FD19</f>
        <v>-789251.76112726331</v>
      </c>
      <c r="ER45" s="2">
        <f t="shared" ref="ER45" si="495">ER19-FF19</f>
        <v>-290531.2300000001</v>
      </c>
      <c r="ET45" s="2">
        <f t="shared" ref="ET45" si="496">ET19-FH19</f>
        <v>-1511497.107052282</v>
      </c>
      <c r="EV45" s="2">
        <f t="shared" ref="EV45" si="497">EV19-FJ19</f>
        <v>48605.785249999986</v>
      </c>
      <c r="EX45" s="2">
        <f>SUM(EN45:EV45)</f>
        <v>-3816002.4246558817</v>
      </c>
      <c r="FA45" s="4" t="s">
        <v>17</v>
      </c>
      <c r="FB45" s="2">
        <f t="shared" ref="FB45" si="498">FB19-FP19</f>
        <v>-647185.19494999968</v>
      </c>
      <c r="FD45" s="2">
        <f t="shared" ref="FD45" si="499">FD19-FR19</f>
        <v>-868811.8033097873</v>
      </c>
      <c r="FF45" s="2">
        <f t="shared" ref="FF45" si="500">FF19-FT19</f>
        <v>-307913.70999999944</v>
      </c>
      <c r="FH45" s="2">
        <f t="shared" ref="FH45" si="501">FH19-FV19</f>
        <v>-1878982.2501843714</v>
      </c>
      <c r="FJ45" s="2">
        <f t="shared" ref="FJ45" si="502">FJ19-FX19</f>
        <v>48123.715250000016</v>
      </c>
      <c r="FL45" s="2">
        <f>SUM(FB45:FJ45)</f>
        <v>-3654769.2431941577</v>
      </c>
      <c r="FO45" s="4" t="s">
        <v>17</v>
      </c>
      <c r="FP45" s="2">
        <f t="shared" ref="FP45" si="503">FP19</f>
        <v>-571585.79293477559</v>
      </c>
      <c r="FR45" s="2">
        <f t="shared" ref="FR45" si="504">FR19</f>
        <v>-792757.17640995351</v>
      </c>
      <c r="FT45" s="2">
        <f t="shared" ref="FT45" si="505">FT19</f>
        <v>-295109.06</v>
      </c>
      <c r="FV45" s="2">
        <f t="shared" ref="FV45" si="506">FV19</f>
        <v>-1801219.3464998596</v>
      </c>
      <c r="FX45" s="2">
        <f t="shared" ref="FX45" si="507">FX19</f>
        <v>46578.595250000006</v>
      </c>
      <c r="FZ45" s="2">
        <f>SUM(FP45:FX45)</f>
        <v>-3414092.7805945887</v>
      </c>
      <c r="GC45" s="4" t="s">
        <v>17</v>
      </c>
      <c r="GD45" s="2">
        <f>GD19-GR19</f>
        <v>-734386.33831036091</v>
      </c>
      <c r="GF45" s="2">
        <f>GF19-GT19</f>
        <v>-617452.57074999996</v>
      </c>
      <c r="GH45" s="2">
        <f>GH19-GV19</f>
        <v>-292858.29000000213</v>
      </c>
      <c r="GJ45" s="2">
        <f>GJ19-GX19</f>
        <v>-1795484.0104371402</v>
      </c>
      <c r="GL45" s="2">
        <f>GL19-GZ19</f>
        <v>-127053.94822971988</v>
      </c>
      <c r="GN45" s="2">
        <f>SUM(GD45:GL45)</f>
        <v>-3567235.1577272229</v>
      </c>
      <c r="GQ45" s="4" t="s">
        <v>17</v>
      </c>
      <c r="GR45" s="2">
        <f>GR19-HF19</f>
        <v>-528425.91</v>
      </c>
      <c r="GT45" s="2">
        <f>GT19-HH19</f>
        <v>-607622.46075000032</v>
      </c>
      <c r="GV45" s="2">
        <f>GV19-HJ19</f>
        <v>-308195.05999999994</v>
      </c>
      <c r="GX45" s="2">
        <f>GX19-HL19</f>
        <v>-1711921.9527310934</v>
      </c>
      <c r="GZ45" s="2">
        <f>GZ19-HN19</f>
        <v>-229518.08288776979</v>
      </c>
      <c r="HB45" s="2">
        <f>SUM(GR45:GZ45)</f>
        <v>-3385683.4663688634</v>
      </c>
      <c r="HE45" s="4" t="s">
        <v>17</v>
      </c>
      <c r="HF45" s="2">
        <f>HF19-HT19</f>
        <v>-496821.09999999951</v>
      </c>
      <c r="HH45" s="2">
        <f>HH19-HV19</f>
        <v>-639579.82150000019</v>
      </c>
      <c r="HJ45" s="2">
        <f>HJ19-HX19</f>
        <v>-321279.62999999966</v>
      </c>
      <c r="HL45" s="2">
        <f>HL19-HZ19</f>
        <v>-1318856.6402679873</v>
      </c>
      <c r="HN45" s="2">
        <f>HN19-IB19</f>
        <v>-229892.41071678896</v>
      </c>
      <c r="HP45" s="2">
        <f>SUM(HF45:HN45)</f>
        <v>-3006429.6024847757</v>
      </c>
      <c r="HS45" s="4" t="s">
        <v>17</v>
      </c>
      <c r="HT45" s="2">
        <f t="shared" ref="HT45" si="508">HT19</f>
        <v>-385351.07000000007</v>
      </c>
      <c r="HV45" s="2">
        <f t="shared" ref="HV45" si="509">HV19</f>
        <v>-552701.84</v>
      </c>
      <c r="HX45" s="2">
        <f t="shared" ref="HX45" si="510">HX19</f>
        <v>-321048.34999999998</v>
      </c>
      <c r="HZ45" s="2">
        <f t="shared" ref="HZ45" si="511">HZ19</f>
        <v>-512308.30000000016</v>
      </c>
      <c r="IB45" s="2">
        <f t="shared" ref="IB45" si="512">IB19</f>
        <v>-308713.93753523193</v>
      </c>
      <c r="ID45" s="2">
        <f>SUM(HT45:IB45)</f>
        <v>-2080123.497535232</v>
      </c>
      <c r="IG45" s="4" t="s">
        <v>17</v>
      </c>
      <c r="IH45" s="2">
        <f t="shared" ref="IH45" si="513">IH19-IV19</f>
        <v>-340730.42000000004</v>
      </c>
      <c r="IJ45" s="2">
        <f t="shared" ref="IJ45" si="514">IJ19-IX19</f>
        <v>-550656.29999999981</v>
      </c>
      <c r="IL45" s="2">
        <f t="shared" ref="IL45" si="515">IL19-IZ19</f>
        <v>-341064.20000000217</v>
      </c>
      <c r="IN45" s="2">
        <f t="shared" ref="IN45" si="516">IN19-JB19</f>
        <v>-485340.65999999945</v>
      </c>
      <c r="IP45" s="2">
        <f t="shared" ref="IP45" si="517">IP19-JD19</f>
        <v>-309851.24018907559</v>
      </c>
      <c r="IR45" s="2">
        <f>SUM(IH45:IP45)</f>
        <v>-2027642.8201890769</v>
      </c>
      <c r="IU45" s="4" t="s">
        <v>17</v>
      </c>
      <c r="IV45" s="2">
        <f t="shared" ref="IV45" si="518">IV19-JJ19</f>
        <v>-349536.39</v>
      </c>
      <c r="IX45" s="2">
        <f t="shared" ref="IX45" si="519">IX19-JL19</f>
        <v>-549645.91999999993</v>
      </c>
      <c r="IZ45" s="2">
        <f t="shared" ref="IZ45" si="520">IZ19-JN19</f>
        <v>-336049.17000000086</v>
      </c>
      <c r="JB45" s="2">
        <f t="shared" ref="JB45" si="521">JB19-JP19</f>
        <v>-559423.19999999902</v>
      </c>
      <c r="JD45" s="2">
        <f t="shared" ref="JD45" si="522">JD19-JR19</f>
        <v>-308404.90245600394</v>
      </c>
      <c r="JF45" s="2">
        <f>SUM(IV45:JD45)</f>
        <v>-2103059.5824560039</v>
      </c>
      <c r="JI45" s="4" t="s">
        <v>17</v>
      </c>
      <c r="JJ45" s="2">
        <f t="shared" ref="JJ45" si="523">JJ19-JX19</f>
        <v>-312591.69000000006</v>
      </c>
      <c r="JL45" s="2">
        <f t="shared" ref="JL45" si="524">JL19-JZ19</f>
        <v>-548624.61999999988</v>
      </c>
      <c r="JN45" s="2">
        <f t="shared" ref="JN45" si="525">JN19-KB19</f>
        <v>-334466.14999999938</v>
      </c>
      <c r="JP45" s="2">
        <f t="shared" ref="JP45" si="526">JP19-KD19</f>
        <v>-551613.61000000103</v>
      </c>
      <c r="JR45" s="2">
        <f t="shared" ref="JR45" si="527">JR19-KF19</f>
        <v>-287145.27519146824</v>
      </c>
      <c r="JT45" s="2">
        <f>SUM(JJ45:JR45)</f>
        <v>-2034441.3451914685</v>
      </c>
      <c r="JW45" s="4" t="s">
        <v>17</v>
      </c>
      <c r="JX45" s="2">
        <f t="shared" ref="JX45" si="528">JX19</f>
        <v>-290523.38</v>
      </c>
      <c r="JZ45" s="2">
        <f t="shared" ref="JZ45" si="529">JZ19</f>
        <v>-544589.53</v>
      </c>
      <c r="KB45" s="2">
        <f t="shared" ref="KB45" si="530">KB19</f>
        <v>-342595.60000000073</v>
      </c>
      <c r="KD45" s="2">
        <f t="shared" ref="KD45" si="531">KD19</f>
        <v>-543740.38000000012</v>
      </c>
      <c r="KF45" s="2">
        <f t="shared" ref="KF45" si="532">KF19</f>
        <v>-88249.262163452266</v>
      </c>
      <c r="KH45" s="2">
        <f>SUM(JX45:KF45)</f>
        <v>-1809698.1521634532</v>
      </c>
      <c r="KK45" s="4" t="s">
        <v>17</v>
      </c>
      <c r="KL45" s="2">
        <f t="shared" ref="KL45" si="533">KL19-KZ19</f>
        <v>-251462.07999999949</v>
      </c>
      <c r="KN45" s="2">
        <f t="shared" ref="KN45" si="534">KN19-LB19</f>
        <v>-539194.16000000015</v>
      </c>
      <c r="KP45" s="2">
        <f t="shared" ref="KP45" si="535">KP19-LD19</f>
        <v>-333659.33999999636</v>
      </c>
      <c r="KR45" s="2">
        <f t="shared" ref="KR45" si="536">KR19-LF19</f>
        <v>-527933.02000000072</v>
      </c>
      <c r="KT45" s="2">
        <f t="shared" ref="KT45" si="537">KT19-LH19</f>
        <v>-91053.436372479628</v>
      </c>
      <c r="KV45" s="2">
        <f>SUM(KL45:KT45)</f>
        <v>-1743302.0363724763</v>
      </c>
      <c r="KY45" s="4" t="s">
        <v>17</v>
      </c>
      <c r="KZ45" s="2">
        <f>KZ19-LN19</f>
        <v>-225030.31999999972</v>
      </c>
      <c r="LB45" s="2">
        <f>LB19-LP19</f>
        <v>-535646.74999999977</v>
      </c>
      <c r="LD45" s="2">
        <f>LD19-LR19</f>
        <v>-330435.46999999869</v>
      </c>
      <c r="LF45" s="2">
        <f>LF19-LT19</f>
        <v>-459515.66999999923</v>
      </c>
      <c r="LH45" s="2">
        <f>LH19-LV19</f>
        <v>-80075.136088050407</v>
      </c>
      <c r="LJ45" s="2">
        <f>SUM(KZ45:LH45)</f>
        <v>-1630703.3460880478</v>
      </c>
      <c r="LM45" s="4" t="s">
        <v>17</v>
      </c>
      <c r="LN45" s="2">
        <f>LN19-MA19</f>
        <v>-222620.27000000016</v>
      </c>
      <c r="LP45" s="2">
        <f>LP19-MC19</f>
        <v>-410848.75925998006</v>
      </c>
      <c r="LR45" s="2">
        <f>LR19-ME19</f>
        <v>-320299.31000000011</v>
      </c>
      <c r="LT45" s="2">
        <f>LT19-MG19</f>
        <v>-438512.77000000118</v>
      </c>
      <c r="LV45" s="2">
        <f>LV19-MI19</f>
        <v>-189108.63183506526</v>
      </c>
      <c r="LX45" s="2">
        <f>SUM(LN45:LV45)</f>
        <v>-1581389.7410950467</v>
      </c>
      <c r="LZ45" s="4" t="s">
        <v>17</v>
      </c>
      <c r="MA45" s="2">
        <f t="shared" ref="MA45" si="538">MA19</f>
        <v>-216246.19000000003</v>
      </c>
      <c r="MC45" s="2">
        <f t="shared" ref="MC45" si="539">MC19</f>
        <v>-650445.92074001988</v>
      </c>
      <c r="ME45" s="2">
        <f t="shared" ref="ME45" si="540">ME19</f>
        <v>-318041.61999999994</v>
      </c>
      <c r="MF45" s="61"/>
      <c r="MG45" s="2">
        <f t="shared" ref="MG45" si="541">MG19</f>
        <v>-452559.30000000005</v>
      </c>
      <c r="MI45" s="2">
        <f t="shared" ref="MI45" si="542">MI19</f>
        <v>56245.125</v>
      </c>
      <c r="MK45" s="2">
        <f>SUM(MA45:MI45)</f>
        <v>-1581047.9057400199</v>
      </c>
      <c r="MM45" s="4" t="s">
        <v>17</v>
      </c>
      <c r="MN45" s="2">
        <f t="shared" ref="MN45:MV45" si="543">MN19-NB19</f>
        <v>-163101.97999999928</v>
      </c>
      <c r="MP45" s="2">
        <f t="shared" si="543"/>
        <v>-511649.26</v>
      </c>
      <c r="MR45" s="2">
        <f t="shared" si="543"/>
        <v>-278924.31999999878</v>
      </c>
      <c r="MT45" s="2">
        <f t="shared" si="543"/>
        <v>-311700.23999999953</v>
      </c>
      <c r="MV45" s="2">
        <f t="shared" si="543"/>
        <v>6497.3450000000303</v>
      </c>
      <c r="MX45" s="2">
        <f>SUM(MN45:MV45)</f>
        <v>-1258878.4549999975</v>
      </c>
      <c r="NA45" s="4" t="s">
        <v>17</v>
      </c>
      <c r="NB45" s="2">
        <f>NB19-NP19</f>
        <v>-160970.08999999973</v>
      </c>
      <c r="ND45" s="2">
        <f>ND19-NR19</f>
        <v>-500310.09999999974</v>
      </c>
      <c r="NF45" s="2">
        <f>NF19-NT19</f>
        <v>-279491.61000000115</v>
      </c>
      <c r="NH45" s="2">
        <f>NH19-NV19</f>
        <v>-380193.81000000238</v>
      </c>
      <c r="NJ45" s="2">
        <f>NJ19-NX19</f>
        <v>6497.3449999999575</v>
      </c>
      <c r="NL45" s="2">
        <f>SUM(NB45:NJ45)</f>
        <v>-1314468.2650000032</v>
      </c>
      <c r="NO45" s="4" t="s">
        <v>17</v>
      </c>
      <c r="NP45" s="2">
        <f>NP19-OC19</f>
        <v>-163993.99000000014</v>
      </c>
      <c r="NR45" s="2">
        <f>NR19-OE19</f>
        <v>-497797.25</v>
      </c>
      <c r="NT45" s="2">
        <f>NT19-OG19</f>
        <v>-282727.95999999996</v>
      </c>
      <c r="NV45" s="2">
        <f>NV19-OI19</f>
        <v>-389030.90999999986</v>
      </c>
      <c r="NX45" s="2">
        <f>NX19-OK19</f>
        <v>6497.3450000000084</v>
      </c>
      <c r="NZ45" s="2">
        <f>SUM(NP45:NX45)</f>
        <v>-1327052.7649999999</v>
      </c>
      <c r="OB45" s="4" t="s">
        <v>17</v>
      </c>
      <c r="OC45" s="2">
        <f>OC19</f>
        <v>-170426.21999999994</v>
      </c>
      <c r="OE45" s="2">
        <f>OE19</f>
        <v>-492168.4800000001</v>
      </c>
      <c r="OG45" s="2">
        <f>OG19</f>
        <v>-273270</v>
      </c>
      <c r="OH45" s="61"/>
      <c r="OI45" s="2">
        <f>OI19</f>
        <v>-406584.23000000004</v>
      </c>
      <c r="OK45" s="2">
        <f>OK19</f>
        <v>6497.3450000000084</v>
      </c>
      <c r="OM45" s="2">
        <f>SUM(OC45:OK45)</f>
        <v>-1335951.5850000002</v>
      </c>
      <c r="OO45" s="4" t="s">
        <v>17</v>
      </c>
      <c r="OP45" s="2">
        <f>OP19-PC19</f>
        <v>-160888.94000000239</v>
      </c>
      <c r="OR45" s="2">
        <f>OR19-PE19</f>
        <v>-804867.44</v>
      </c>
      <c r="OT45" s="53">
        <v>-271352.18</v>
      </c>
      <c r="OV45" s="53">
        <v>-7841.8900000001486</v>
      </c>
      <c r="OX45" s="53">
        <v>20826.995288333394</v>
      </c>
      <c r="OZ45" s="2">
        <f>SUM(OP45:OX45)</f>
        <v>-1224123.4547116691</v>
      </c>
      <c r="PB45" s="4" t="s">
        <v>17</v>
      </c>
      <c r="PC45" s="2">
        <f>PC19-PP19</f>
        <v>-162940.19000000018</v>
      </c>
      <c r="PE45" s="2">
        <f>PE19-PR19</f>
        <v>-499741.6399999999</v>
      </c>
      <c r="PG45" s="39">
        <f>PG19-PT19</f>
        <v>0</v>
      </c>
      <c r="PI45" s="2">
        <f>PI19-PV19</f>
        <v>-396912.1799999997</v>
      </c>
      <c r="PK45" s="2">
        <f>PK19-PX19</f>
        <v>-6206.1081250000425</v>
      </c>
      <c r="PM45" s="2">
        <f>SUM(PC45:PK45)</f>
        <v>-1065800.1181249998</v>
      </c>
      <c r="PO45" s="4" t="s">
        <v>17</v>
      </c>
      <c r="PP45" s="2">
        <f>PP19-QC19</f>
        <v>-165702.82999999984</v>
      </c>
      <c r="PR45" s="2">
        <f>PR19-QE19</f>
        <v>-111939.5</v>
      </c>
      <c r="PT45" s="39">
        <f>PT19-QG19</f>
        <v>0</v>
      </c>
      <c r="PV45" s="2">
        <f>PV19-QI19</f>
        <v>-490016.78000000096</v>
      </c>
      <c r="PX45" s="2">
        <f>PX19-QK19</f>
        <v>44675.692625000025</v>
      </c>
      <c r="PZ45" s="2">
        <f>SUM(PP45:PX45)</f>
        <v>-722983.41737500078</v>
      </c>
      <c r="QB45" s="4" t="s">
        <v>17</v>
      </c>
      <c r="QC45" s="2">
        <f>QC19-QP19-QT19</f>
        <v>-139486.30000000002</v>
      </c>
      <c r="QE45" s="2">
        <f>QE19-QR19</f>
        <v>-104223.14000000003</v>
      </c>
      <c r="QG45" s="39"/>
      <c r="QI45" s="2">
        <f>QI19-QV19</f>
        <v>-450624.2499999993</v>
      </c>
      <c r="QK45" s="2">
        <f>QK19-QX19</f>
        <v>42264.31412499999</v>
      </c>
      <c r="QM45" s="2">
        <f>SUM(QC45:QK45)</f>
        <v>-652069.37587499933</v>
      </c>
      <c r="QO45" s="4" t="s">
        <v>17</v>
      </c>
      <c r="QP45" s="2">
        <f>QP19-RC19</f>
        <v>-90274.75999999998</v>
      </c>
      <c r="QR45" s="2">
        <f>QR19-RE19</f>
        <v>-74447.259999999995</v>
      </c>
      <c r="QT45" s="2">
        <f>QT19-RG19</f>
        <v>-47197.530000000013</v>
      </c>
      <c r="QV45" s="2">
        <f>QV19-RI19</f>
        <v>-451779.68000000028</v>
      </c>
      <c r="QX45" s="2">
        <f>QX19-RK19</f>
        <v>28507.026083333338</v>
      </c>
      <c r="QZ45" s="2">
        <f>SUM(QP45:QX45)</f>
        <v>-635192.20391666691</v>
      </c>
      <c r="RB45" s="4" t="s">
        <v>17</v>
      </c>
      <c r="RC45" s="2">
        <f>RC19-RP19</f>
        <v>-87035.96</v>
      </c>
      <c r="RE45" s="2">
        <f>RE19-RR19</f>
        <v>-15038.1</v>
      </c>
      <c r="RG45" s="2">
        <f>RG19-RT19</f>
        <v>-47278.35</v>
      </c>
      <c r="RI45" s="2">
        <f>RI19-RV19</f>
        <v>-453253.27</v>
      </c>
      <c r="RK45" s="2">
        <f>RK19-RX19</f>
        <v>992.55</v>
      </c>
      <c r="RM45" s="2">
        <f>SUM(RC45:RK45)</f>
        <v>-601613.13</v>
      </c>
      <c r="RO45" s="4" t="s">
        <v>17</v>
      </c>
      <c r="RP45" s="2">
        <f>RP19</f>
        <v>-83305.12000000001</v>
      </c>
      <c r="RR45" s="2">
        <f>RR19</f>
        <v>-14614.53</v>
      </c>
      <c r="RT45" s="2">
        <f>RT19</f>
        <v>-45106.35</v>
      </c>
      <c r="RV45" s="2">
        <f>RV19</f>
        <v>-453726.35</v>
      </c>
      <c r="RX45" s="2">
        <f>RX19</f>
        <v>992.55</v>
      </c>
      <c r="RZ45" s="2">
        <f>SUM(RP45:RX45)</f>
        <v>-595759.79999999993</v>
      </c>
      <c r="SB45" s="4" t="s">
        <v>17</v>
      </c>
      <c r="SC45" s="2">
        <f>SC19-SP19</f>
        <v>-86673.910000000062</v>
      </c>
      <c r="SE45" s="2">
        <f>SE19-SR19</f>
        <v>-15095.349999999991</v>
      </c>
      <c r="SG45" s="2">
        <f>SG19-ST19</f>
        <v>-47575.100000000035</v>
      </c>
      <c r="SI45" s="2">
        <f>SI19-SV19</f>
        <v>-351770.4599999995</v>
      </c>
      <c r="SK45" s="2">
        <f>SK19-SX19</f>
        <v>-85.850000000320506</v>
      </c>
      <c r="SM45" s="2">
        <f>SUM(SC45:SK45)</f>
        <v>-501200.66999999993</v>
      </c>
      <c r="SO45" s="4" t="s">
        <v>17</v>
      </c>
      <c r="SP45" s="2">
        <f>SP19-TC19</f>
        <v>-83116.379999999976</v>
      </c>
      <c r="SR45" s="2">
        <f>SR19-TE19</f>
        <v>-14663.480000000007</v>
      </c>
      <c r="ST45" s="2">
        <f>ST19-TG19</f>
        <v>-46141.619999999995</v>
      </c>
      <c r="SV45" s="2">
        <f>SV19-TI19</f>
        <v>-395441.89000000025</v>
      </c>
      <c r="SX45" s="2">
        <f>SX19-TK19</f>
        <v>1351.9800000001806</v>
      </c>
      <c r="SZ45" s="2">
        <f>SUM(SP45:SX45)</f>
        <v>-538011.39</v>
      </c>
      <c r="TB45" s="4" t="s">
        <v>17</v>
      </c>
      <c r="TC45" s="2">
        <f>TC19-TP19</f>
        <v>-83239.05</v>
      </c>
      <c r="TE45" s="2">
        <f>TE19-TR19</f>
        <v>9559.5300000000025</v>
      </c>
      <c r="TG45" s="2">
        <f>TG19-TT19</f>
        <v>-43622.880000000005</v>
      </c>
      <c r="TI45" s="2">
        <f>TI19-TV19</f>
        <v>-389104.26999999996</v>
      </c>
      <c r="TK45" s="2">
        <f>TK19-TX19</f>
        <v>1162.5900000002098</v>
      </c>
      <c r="TM45" s="2">
        <f>SUM(TC45:TK45)</f>
        <v>-505244.07999999978</v>
      </c>
      <c r="TO45" s="4" t="s">
        <v>17</v>
      </c>
      <c r="TP45" s="2">
        <f>TP19</f>
        <v>-81941.509999999995</v>
      </c>
      <c r="TR45" s="2">
        <f>TR19</f>
        <v>-37511.970000000008</v>
      </c>
      <c r="TT45" s="2">
        <f>TT19</f>
        <v>-41620.880000000005</v>
      </c>
      <c r="TV45" s="2">
        <f>TV19</f>
        <v>-386411.23999999993</v>
      </c>
      <c r="TX45" s="2">
        <f>TX19</f>
        <v>1541.3199999999301</v>
      </c>
      <c r="TZ45" s="2">
        <f>SUM(TP45:TX45)</f>
        <v>-545944.28</v>
      </c>
      <c r="UB45" s="4" t="s">
        <v>17</v>
      </c>
      <c r="UC45" s="2">
        <f>UC19-UP19</f>
        <v>-227634.62000000023</v>
      </c>
      <c r="UE45" s="2">
        <f>UE19-UR19</f>
        <v>-37509.449999999997</v>
      </c>
      <c r="UG45" s="2">
        <f>UG19-UT19</f>
        <v>-75110.930000000022</v>
      </c>
      <c r="UI45" s="2">
        <f>UI19-UV19</f>
        <v>-720065.05000000028</v>
      </c>
      <c r="UK45" s="2">
        <f>UK19-UX19</f>
        <v>-3983.7199999986715</v>
      </c>
      <c r="UM45" s="2">
        <f>SUM(UC45:UK45)</f>
        <v>-1064303.7699999991</v>
      </c>
      <c r="UO45" s="4" t="s">
        <v>17</v>
      </c>
      <c r="UP45" s="2">
        <f>UP19-VC19</f>
        <v>-224639.45999999996</v>
      </c>
      <c r="UR45" s="2">
        <f>UR19-VE19</f>
        <v>-26966.18</v>
      </c>
      <c r="UT45" s="2">
        <f>UT19-VG19</f>
        <v>-74165.060000000012</v>
      </c>
      <c r="UV45" s="2">
        <f>UV19-VI19</f>
        <v>-784159.01000000071</v>
      </c>
      <c r="UX45" s="2">
        <f>UX19-VK19</f>
        <v>3232.2000000004318</v>
      </c>
      <c r="UZ45" s="2">
        <f>SUM(UP45:UX45)</f>
        <v>-1106697.5100000002</v>
      </c>
      <c r="VB45" s="4" t="s">
        <v>17</v>
      </c>
      <c r="VC45" s="2">
        <f>VC19-VP19</f>
        <v>-200367.56999999992</v>
      </c>
      <c r="VE45" s="2">
        <f>VE19-VR19</f>
        <v>-32163.85</v>
      </c>
      <c r="VG45" s="2">
        <f>VG19-VT19</f>
        <v>-65646.169999999984</v>
      </c>
      <c r="VI45" s="2">
        <f>VI19-VV19</f>
        <v>-792948.07999999903</v>
      </c>
      <c r="VK45" s="2">
        <f>VK19-VX19</f>
        <v>5264.2899999995698</v>
      </c>
      <c r="VM45" s="2">
        <f>SUM(VC45:VK45)</f>
        <v>-1085861.3799999994</v>
      </c>
      <c r="VO45" s="4" t="s">
        <v>17</v>
      </c>
      <c r="VP45" s="2">
        <f>VP19</f>
        <v>-220268.34</v>
      </c>
      <c r="VR45" s="2">
        <f>VR19</f>
        <v>-32200.17</v>
      </c>
      <c r="VT45" s="2">
        <f>VT19</f>
        <v>-52934.060000000005</v>
      </c>
      <c r="VV45" s="2">
        <f>VV19</f>
        <v>-785045.98000000103</v>
      </c>
      <c r="VX45" s="2">
        <f>VX19</f>
        <v>1652.5</v>
      </c>
      <c r="VZ45" s="2">
        <f>SUM(VP45:VX45)</f>
        <v>-1088796.050000001</v>
      </c>
      <c r="WB45" s="4" t="s">
        <v>17</v>
      </c>
      <c r="WC45" s="2">
        <f>WC19-WP19</f>
        <v>-216118.13000000018</v>
      </c>
      <c r="WE45" s="2">
        <f>WE19-WR19</f>
        <v>-48188.810000000005</v>
      </c>
      <c r="WG45" s="2">
        <f>WG19-WT19</f>
        <v>-69224.979999999981</v>
      </c>
      <c r="WI45" s="2">
        <f>WI19-WV19</f>
        <v>-732488.32940068981</v>
      </c>
      <c r="WK45" s="2">
        <f>WK19-WX19</f>
        <v>4957.5</v>
      </c>
      <c r="WM45" s="2">
        <f>SUM(WC45:WK45)</f>
        <v>-1061062.74940069</v>
      </c>
      <c r="WO45" s="4" t="s">
        <v>17</v>
      </c>
      <c r="WP45" s="2">
        <f>WP19-XC19</f>
        <v>-197453.00000000006</v>
      </c>
      <c r="WR45" s="2">
        <f>WR19-XE19</f>
        <v>-23774.11</v>
      </c>
      <c r="WT45" s="2">
        <f>WT19-XG19</f>
        <v>-54220</v>
      </c>
      <c r="WV45" s="2">
        <f>WV19-XI19</f>
        <v>-801554.96353310347</v>
      </c>
      <c r="WX45" s="2">
        <f>WX19-XK19</f>
        <v>-1652.4999999999204</v>
      </c>
      <c r="WZ45" s="2">
        <f>SUM(WP45:WX45)</f>
        <v>-1078654.5735331036</v>
      </c>
      <c r="XB45" s="4" t="s">
        <v>17</v>
      </c>
      <c r="XC45" s="2">
        <f>XC19-XP19</f>
        <v>-176555.40999999989</v>
      </c>
      <c r="XE45" s="2">
        <f>XE19-XR19</f>
        <v>-20364.919999999998</v>
      </c>
      <c r="XG45" s="2">
        <f>XG19-XT19</f>
        <v>-53710.5</v>
      </c>
      <c r="XI45" s="2">
        <f>XI19-XV19</f>
        <v>-730581.04353310331</v>
      </c>
      <c r="XK45" s="2">
        <f>XK19-XX19</f>
        <v>-4957.50000000008</v>
      </c>
      <c r="XM45" s="2">
        <f>SUM(XC45:XK45)</f>
        <v>-986169.37353310327</v>
      </c>
      <c r="XO45" s="4" t="s">
        <v>17</v>
      </c>
      <c r="XP45" s="2">
        <f>XP19</f>
        <v>-148446.59</v>
      </c>
      <c r="XR45" s="2">
        <f>XR19</f>
        <v>-17075.099999999999</v>
      </c>
      <c r="XT45" s="2">
        <f>XT19</f>
        <v>-50997.5</v>
      </c>
      <c r="XV45" s="2">
        <f>XV19</f>
        <v>-552589.05353310308</v>
      </c>
      <c r="XX45" s="2">
        <f>XX19</f>
        <v>1652.5</v>
      </c>
      <c r="XZ45" s="2">
        <f>SUM(XP45:XX45)</f>
        <v>-767455.74353310303</v>
      </c>
      <c r="YB45" s="4" t="s">
        <v>17</v>
      </c>
      <c r="YC45" s="2">
        <f>YC19-YP19</f>
        <v>-122291.5</v>
      </c>
      <c r="YE45" s="2">
        <f>YE19-YR19</f>
        <v>-20183.700000000004</v>
      </c>
      <c r="YG45" s="2">
        <f>YG19-YT19</f>
        <v>-61573.670000000013</v>
      </c>
      <c r="YI45" s="2">
        <f>YI19-YV19</f>
        <v>-748003.03353310004</v>
      </c>
      <c r="YK45" s="2">
        <f>YK19-YX19</f>
        <v>4593</v>
      </c>
      <c r="YM45" s="2">
        <f>SUM(YC45:YK45)</f>
        <v>-947458.90353310003</v>
      </c>
      <c r="YP45" s="2"/>
    </row>
    <row r="46" spans="1:676">
      <c r="H46" s="61"/>
      <c r="X46" s="61"/>
      <c r="AD46" s="61"/>
      <c r="AT46" s="61"/>
      <c r="LR46" s="53"/>
      <c r="ME46" s="53"/>
      <c r="MF46" s="61"/>
      <c r="NT46" s="53"/>
      <c r="OG46" s="53"/>
      <c r="OH46" s="61"/>
      <c r="OP46" s="43"/>
      <c r="OQ46" s="43"/>
      <c r="OR46" s="42"/>
      <c r="OS46" s="42"/>
      <c r="OT46" s="60"/>
      <c r="OU46" s="42"/>
      <c r="OV46" s="42"/>
      <c r="OW46" s="42"/>
      <c r="OX46" s="42"/>
      <c r="OY46" s="42"/>
      <c r="OZ46" s="42"/>
      <c r="PG46" s="39"/>
      <c r="PT46" s="39"/>
      <c r="QG46" s="39"/>
    </row>
    <row r="47" spans="1:676" ht="11" thickBot="1">
      <c r="A47" s="7" t="s">
        <v>127</v>
      </c>
      <c r="B47" s="12" t="e">
        <f>B44-B45</f>
        <v>#REF!</v>
      </c>
      <c r="C47" s="13"/>
      <c r="D47" s="12" t="e">
        <f>D44-D45</f>
        <v>#REF!</v>
      </c>
      <c r="E47" s="8"/>
      <c r="F47" s="64" t="e">
        <f>F44-F45</f>
        <v>#REF!</v>
      </c>
      <c r="G47" s="8"/>
      <c r="H47" s="64">
        <v>0</v>
      </c>
      <c r="I47" s="8"/>
      <c r="J47" s="12" t="e">
        <f>J44-J45</f>
        <v>#REF!</v>
      </c>
      <c r="K47" s="8"/>
      <c r="L47" s="12" t="e">
        <f>L44-L45</f>
        <v>#REF!</v>
      </c>
      <c r="M47" s="8"/>
      <c r="N47" s="12" t="e">
        <f>SUM(B47:L47)</f>
        <v>#REF!</v>
      </c>
      <c r="Q47" s="7" t="s">
        <v>127</v>
      </c>
      <c r="R47" s="64" t="e">
        <f>R44-R45</f>
        <v>#REF!</v>
      </c>
      <c r="S47" s="72"/>
      <c r="T47" s="64" t="e">
        <f>T44-T45</f>
        <v>#REF!</v>
      </c>
      <c r="U47" s="63"/>
      <c r="V47" s="64" t="e">
        <f>V44-V45</f>
        <v>#REF!</v>
      </c>
      <c r="W47" s="63"/>
      <c r="X47" s="64">
        <v>0</v>
      </c>
      <c r="Y47" s="63"/>
      <c r="Z47" s="64" t="e">
        <f>Z44-Z45</f>
        <v>#REF!</v>
      </c>
      <c r="AA47" s="63"/>
      <c r="AB47" s="64" t="e">
        <f>AB44-AB45</f>
        <v>#REF!</v>
      </c>
      <c r="AC47" s="8"/>
      <c r="AD47" s="64" t="e">
        <f>SUM(R47:AB47)</f>
        <v>#REF!</v>
      </c>
      <c r="AG47" s="7" t="s">
        <v>127</v>
      </c>
      <c r="AH47" s="64" t="e">
        <f>AH44-AH45</f>
        <v>#REF!</v>
      </c>
      <c r="AI47" s="72"/>
      <c r="AJ47" s="64" t="e">
        <f>AJ44-AJ45</f>
        <v>#REF!</v>
      </c>
      <c r="AK47" s="63"/>
      <c r="AL47" s="64" t="e">
        <f>AL44-AL45</f>
        <v>#REF!</v>
      </c>
      <c r="AM47" s="63"/>
      <c r="AN47" s="64">
        <v>0</v>
      </c>
      <c r="AO47" s="63"/>
      <c r="AP47" s="64" t="e">
        <f>AP44-AP45</f>
        <v>#REF!</v>
      </c>
      <c r="AQ47" s="63"/>
      <c r="AR47" s="64" t="e">
        <f>AR44-AR45</f>
        <v>#REF!</v>
      </c>
      <c r="AS47" s="8"/>
      <c r="AT47" s="64" t="e">
        <f>SUM(AH47:AR47)</f>
        <v>#REF!</v>
      </c>
      <c r="AW47" s="7" t="s">
        <v>127</v>
      </c>
      <c r="AX47" s="12" t="e">
        <f>AX44-AX45</f>
        <v>#REF!</v>
      </c>
      <c r="AY47" s="13"/>
      <c r="AZ47" s="12" t="e">
        <f>AZ44-AZ45</f>
        <v>#REF!</v>
      </c>
      <c r="BA47" s="8"/>
      <c r="BB47" s="64" t="e">
        <f>BB44-BB45</f>
        <v>#REF!</v>
      </c>
      <c r="BC47" s="63"/>
      <c r="BD47" s="64">
        <v>0</v>
      </c>
      <c r="BE47" s="8"/>
      <c r="BF47" s="12" t="e">
        <f>BF44-BF45</f>
        <v>#REF!</v>
      </c>
      <c r="BG47" s="8"/>
      <c r="BH47" s="12" t="e">
        <f>BH44-BH45</f>
        <v>#REF!</v>
      </c>
      <c r="BI47" s="8"/>
      <c r="BJ47" s="64" t="e">
        <f t="shared" ref="BJ47" si="544">SUM(AX47:BH47)</f>
        <v>#REF!</v>
      </c>
      <c r="BM47" s="7" t="s">
        <v>127</v>
      </c>
      <c r="BN47" s="12" t="e">
        <f>BN44-BN45</f>
        <v>#REF!</v>
      </c>
      <c r="BO47" s="13"/>
      <c r="BP47" s="12" t="e">
        <f>BP44-BP45</f>
        <v>#REF!</v>
      </c>
      <c r="BQ47" s="8"/>
      <c r="BR47" s="64" t="e">
        <f>BR44-BR45</f>
        <v>#REF!</v>
      </c>
      <c r="BS47" s="8"/>
      <c r="BT47" s="64">
        <v>0</v>
      </c>
      <c r="BU47" s="8"/>
      <c r="BV47" s="12" t="e">
        <f>BV44-BV45</f>
        <v>#REF!</v>
      </c>
      <c r="BW47" s="8"/>
      <c r="BX47" s="12" t="e">
        <f>BX44-BX45</f>
        <v>#REF!</v>
      </c>
      <c r="BY47" s="8"/>
      <c r="BZ47" s="12" t="e">
        <f>SUM(BN47:BX47)</f>
        <v>#REF!</v>
      </c>
      <c r="CC47" s="7" t="s">
        <v>127</v>
      </c>
      <c r="CD47" s="12" t="e">
        <f>CD44-CD45</f>
        <v>#REF!</v>
      </c>
      <c r="CE47" s="13"/>
      <c r="CF47" s="12" t="e">
        <f>CF44-CF45</f>
        <v>#REF!</v>
      </c>
      <c r="CG47" s="8"/>
      <c r="CH47" s="64" t="e">
        <f>CH44-CH45</f>
        <v>#REF!</v>
      </c>
      <c r="CI47" s="63"/>
      <c r="CJ47" s="64">
        <v>0</v>
      </c>
      <c r="CK47" s="8"/>
      <c r="CL47" s="12" t="e">
        <f>CL44-CL45</f>
        <v>#REF!</v>
      </c>
      <c r="CM47" s="8"/>
      <c r="CN47" s="12" t="e">
        <f>CN44-CN45</f>
        <v>#REF!</v>
      </c>
      <c r="CO47" s="8"/>
      <c r="CP47" s="12" t="e">
        <f>SUM(CD47:CN47)</f>
        <v>#REF!</v>
      </c>
      <c r="CS47" s="7" t="s">
        <v>127</v>
      </c>
      <c r="CT47" s="12" t="e">
        <f>CT44-CT45</f>
        <v>#REF!</v>
      </c>
      <c r="CU47" s="13"/>
      <c r="CV47" s="12" t="e">
        <f>CV44-CV45</f>
        <v>#REF!</v>
      </c>
      <c r="CW47" s="8"/>
      <c r="CX47" s="64" t="e">
        <f>CX44-CX45</f>
        <v>#REF!</v>
      </c>
      <c r="CY47" s="63"/>
      <c r="CZ47" s="64">
        <v>0</v>
      </c>
      <c r="DA47" s="8"/>
      <c r="DB47" s="12" t="e">
        <f>DB44-DB45</f>
        <v>#REF!</v>
      </c>
      <c r="DC47" s="8"/>
      <c r="DD47" s="12" t="e">
        <f>DD44-DD45</f>
        <v>#REF!</v>
      </c>
      <c r="DE47" s="8"/>
      <c r="DF47" s="12" t="e">
        <f>SUM(CT47:DD47)</f>
        <v>#REF!</v>
      </c>
      <c r="DI47" s="7" t="s">
        <v>127</v>
      </c>
      <c r="DJ47" s="12" t="e">
        <f>DJ44-DJ45</f>
        <v>#REF!</v>
      </c>
      <c r="DK47" s="13"/>
      <c r="DL47" s="12" t="e">
        <f>DL44-DL45</f>
        <v>#REF!</v>
      </c>
      <c r="DM47" s="8"/>
      <c r="DN47" s="64" t="e">
        <f>DN44-DN45</f>
        <v>#REF!</v>
      </c>
      <c r="DO47" s="63"/>
      <c r="DP47" s="64">
        <v>0</v>
      </c>
      <c r="DQ47" s="8"/>
      <c r="DR47" s="12" t="e">
        <f>DR44-DR45</f>
        <v>#REF!</v>
      </c>
      <c r="DS47" s="8"/>
      <c r="DT47" s="12" t="e">
        <f>DT44-DT45</f>
        <v>#REF!</v>
      </c>
      <c r="DU47" s="8"/>
      <c r="DV47" s="12" t="e">
        <f>SUM(DJ47:DT47)</f>
        <v>#REF!</v>
      </c>
      <c r="DY47" s="7" t="s">
        <v>43</v>
      </c>
      <c r="DZ47" s="12" t="e">
        <f>DZ44-DZ45</f>
        <v>#REF!</v>
      </c>
      <c r="EA47" s="13"/>
      <c r="EB47" s="12" t="e">
        <f>EB44-EB45</f>
        <v>#REF!</v>
      </c>
      <c r="EC47" s="8"/>
      <c r="ED47" s="64" t="e">
        <f>ED44-ED45</f>
        <v>#REF!</v>
      </c>
      <c r="EE47" s="8"/>
      <c r="EF47" s="12" t="e">
        <f>EF44-EF45</f>
        <v>#REF!</v>
      </c>
      <c r="EG47" s="8"/>
      <c r="EH47" s="12" t="e">
        <f>EH44-EH45</f>
        <v>#REF!</v>
      </c>
      <c r="EI47" s="8"/>
      <c r="EJ47" s="12" t="e">
        <f>EJ44-EJ45</f>
        <v>#REF!</v>
      </c>
      <c r="EM47" s="7" t="s">
        <v>43</v>
      </c>
      <c r="EN47" s="12" t="e">
        <f>EN44-EN45</f>
        <v>#REF!</v>
      </c>
      <c r="EO47" s="13"/>
      <c r="EP47" s="12" t="e">
        <f>EP44-EP45</f>
        <v>#REF!</v>
      </c>
      <c r="EQ47" s="8"/>
      <c r="ER47" s="64" t="e">
        <f>ER44-ER45</f>
        <v>#REF!</v>
      </c>
      <c r="ES47" s="8"/>
      <c r="ET47" s="12" t="e">
        <f>ET44-ET45</f>
        <v>#REF!</v>
      </c>
      <c r="EU47" s="8"/>
      <c r="EV47" s="12" t="e">
        <f>EV44-EV45</f>
        <v>#REF!</v>
      </c>
      <c r="EW47" s="8"/>
      <c r="EX47" s="12" t="e">
        <f>EX44-EX45</f>
        <v>#REF!</v>
      </c>
      <c r="FA47" s="7" t="s">
        <v>43</v>
      </c>
      <c r="FB47" s="12" t="e">
        <f>FB44-FB45</f>
        <v>#REF!</v>
      </c>
      <c r="FC47" s="13"/>
      <c r="FD47" s="12" t="e">
        <f>FD44-FD45</f>
        <v>#REF!</v>
      </c>
      <c r="FE47" s="8"/>
      <c r="FF47" s="64" t="e">
        <f>FF44-FF45</f>
        <v>#REF!</v>
      </c>
      <c r="FG47" s="8"/>
      <c r="FH47" s="12" t="e">
        <f>FH44-FH45</f>
        <v>#REF!</v>
      </c>
      <c r="FI47" s="8"/>
      <c r="FJ47" s="12" t="e">
        <f>FJ44-FJ45</f>
        <v>#REF!</v>
      </c>
      <c r="FK47" s="8"/>
      <c r="FL47" s="12" t="e">
        <f>FL44-FL45</f>
        <v>#REF!</v>
      </c>
      <c r="FO47" s="7" t="s">
        <v>43</v>
      </c>
      <c r="FP47" s="12" t="e">
        <f>FP44-FP45</f>
        <v>#REF!</v>
      </c>
      <c r="FQ47" s="13"/>
      <c r="FR47" s="12" t="e">
        <f>FR44-FR45</f>
        <v>#REF!</v>
      </c>
      <c r="FS47" s="8"/>
      <c r="FT47" s="64" t="e">
        <f>FT44-FT45</f>
        <v>#REF!</v>
      </c>
      <c r="FU47" s="8"/>
      <c r="FV47" s="12" t="e">
        <f>FV44-FV45</f>
        <v>#REF!</v>
      </c>
      <c r="FW47" s="8"/>
      <c r="FX47" s="12" t="e">
        <f>FX44-FX45</f>
        <v>#REF!</v>
      </c>
      <c r="FY47" s="8"/>
      <c r="FZ47" s="12" t="e">
        <f>FZ44-FZ45</f>
        <v>#REF!</v>
      </c>
      <c r="GC47" s="7" t="s">
        <v>43</v>
      </c>
      <c r="GD47" s="12" t="e">
        <f>GD44-GD45</f>
        <v>#REF!</v>
      </c>
      <c r="GE47" s="13"/>
      <c r="GF47" s="12" t="e">
        <f>GF44-GF45</f>
        <v>#REF!</v>
      </c>
      <c r="GG47" s="8"/>
      <c r="GH47" s="64" t="e">
        <f>GH44-GH45</f>
        <v>#REF!</v>
      </c>
      <c r="GI47" s="8"/>
      <c r="GJ47" s="12" t="e">
        <f>GJ44-GJ45</f>
        <v>#REF!</v>
      </c>
      <c r="GK47" s="8"/>
      <c r="GL47" s="12" t="e">
        <f>GL44-GL45</f>
        <v>#REF!</v>
      </c>
      <c r="GM47" s="8"/>
      <c r="GN47" s="12" t="e">
        <f>GN44-GN45</f>
        <v>#REF!</v>
      </c>
      <c r="GQ47" s="7" t="s">
        <v>43</v>
      </c>
      <c r="GR47" s="12" t="e">
        <f>GR44-GR45</f>
        <v>#REF!</v>
      </c>
      <c r="GS47" s="13"/>
      <c r="GT47" s="12" t="e">
        <f>GT44-GT45</f>
        <v>#REF!</v>
      </c>
      <c r="GU47" s="8"/>
      <c r="GV47" s="64" t="e">
        <f>GV44-GV45</f>
        <v>#REF!</v>
      </c>
      <c r="GW47" s="8"/>
      <c r="GX47" s="12" t="e">
        <f>GX44-GX45</f>
        <v>#REF!</v>
      </c>
      <c r="GY47" s="8"/>
      <c r="GZ47" s="12" t="e">
        <f>GZ44-GZ45</f>
        <v>#REF!</v>
      </c>
      <c r="HA47" s="8"/>
      <c r="HB47" s="12" t="e">
        <f>HB44-HB45</f>
        <v>#REF!</v>
      </c>
      <c r="HE47" s="7" t="s">
        <v>43</v>
      </c>
      <c r="HF47" s="12" t="e">
        <f>HF44-HF45</f>
        <v>#REF!</v>
      </c>
      <c r="HG47" s="13"/>
      <c r="HH47" s="12" t="e">
        <f>HH44-HH45</f>
        <v>#REF!</v>
      </c>
      <c r="HI47" s="8"/>
      <c r="HJ47" s="64" t="e">
        <f>HJ44-HJ45</f>
        <v>#REF!</v>
      </c>
      <c r="HK47" s="8"/>
      <c r="HL47" s="12" t="e">
        <f>HL44-HL45</f>
        <v>#REF!</v>
      </c>
      <c r="HM47" s="8"/>
      <c r="HN47" s="12" t="e">
        <f>HN44-HN45</f>
        <v>#REF!</v>
      </c>
      <c r="HO47" s="8"/>
      <c r="HP47" s="12" t="e">
        <f>HP44-HP45</f>
        <v>#REF!</v>
      </c>
      <c r="HS47" s="7" t="s">
        <v>43</v>
      </c>
      <c r="HT47" s="12" t="e">
        <f>HT44-HT45</f>
        <v>#REF!</v>
      </c>
      <c r="HU47" s="13"/>
      <c r="HV47" s="12" t="e">
        <f>HV44-HV45</f>
        <v>#REF!</v>
      </c>
      <c r="HW47" s="8"/>
      <c r="HX47" s="64" t="e">
        <f>HX44-HX45</f>
        <v>#REF!</v>
      </c>
      <c r="HY47" s="8"/>
      <c r="HZ47" s="12" t="e">
        <f>HZ44-HZ45</f>
        <v>#REF!</v>
      </c>
      <c r="IA47" s="8"/>
      <c r="IB47" s="12" t="e">
        <f>IB44-IB45</f>
        <v>#REF!</v>
      </c>
      <c r="IC47" s="8"/>
      <c r="ID47" s="12" t="e">
        <f>ID44-ID45</f>
        <v>#REF!</v>
      </c>
      <c r="IG47" s="7" t="s">
        <v>43</v>
      </c>
      <c r="IH47" s="12" t="e">
        <f>IH44-IH45</f>
        <v>#REF!</v>
      </c>
      <c r="II47" s="13"/>
      <c r="IJ47" s="12" t="e">
        <f>IJ44-IJ45</f>
        <v>#REF!</v>
      </c>
      <c r="IK47" s="8"/>
      <c r="IL47" s="64" t="e">
        <f>IL44-IL45</f>
        <v>#REF!</v>
      </c>
      <c r="IM47" s="8"/>
      <c r="IN47" s="12" t="e">
        <f>IN44-IN45</f>
        <v>#REF!</v>
      </c>
      <c r="IO47" s="8"/>
      <c r="IP47" s="12" t="e">
        <f>IP44-IP45</f>
        <v>#REF!</v>
      </c>
      <c r="IQ47" s="8"/>
      <c r="IR47" s="12" t="e">
        <f>IR44-IR45</f>
        <v>#REF!</v>
      </c>
      <c r="IU47" s="7" t="s">
        <v>43</v>
      </c>
      <c r="IV47" s="12" t="e">
        <f>IV44-IV45</f>
        <v>#REF!</v>
      </c>
      <c r="IW47" s="13"/>
      <c r="IX47" s="12" t="e">
        <f>IX44-IX45</f>
        <v>#REF!</v>
      </c>
      <c r="IY47" s="8"/>
      <c r="IZ47" s="64" t="e">
        <f>IZ44-IZ45</f>
        <v>#REF!</v>
      </c>
      <c r="JA47" s="8"/>
      <c r="JB47" s="12" t="e">
        <f>JB44-JB45</f>
        <v>#REF!</v>
      </c>
      <c r="JC47" s="8"/>
      <c r="JD47" s="12" t="e">
        <f>JD44-JD45</f>
        <v>#REF!</v>
      </c>
      <c r="JE47" s="8"/>
      <c r="JF47" s="12" t="e">
        <f>JF44-JF45</f>
        <v>#REF!</v>
      </c>
      <c r="JI47" s="7" t="s">
        <v>43</v>
      </c>
      <c r="JJ47" s="12" t="e">
        <f>JJ44-JJ45</f>
        <v>#REF!</v>
      </c>
      <c r="JK47" s="13"/>
      <c r="JL47" s="12" t="e">
        <f>JL44-JL45</f>
        <v>#REF!</v>
      </c>
      <c r="JM47" s="8"/>
      <c r="JN47" s="64" t="e">
        <f>JN44-JN45</f>
        <v>#REF!</v>
      </c>
      <c r="JO47" s="8"/>
      <c r="JP47" s="12" t="e">
        <f>JP44-JP45</f>
        <v>#REF!</v>
      </c>
      <c r="JQ47" s="8"/>
      <c r="JR47" s="12" t="e">
        <f>JR44-JR45</f>
        <v>#REF!</v>
      </c>
      <c r="JS47" s="8"/>
      <c r="JT47" s="12" t="e">
        <f>JT44-JT45</f>
        <v>#REF!</v>
      </c>
      <c r="JW47" s="7" t="s">
        <v>43</v>
      </c>
      <c r="JX47" s="12" t="e">
        <f>JX44-JX45</f>
        <v>#REF!</v>
      </c>
      <c r="JY47" s="13"/>
      <c r="JZ47" s="12" t="e">
        <f>JZ44-JZ45</f>
        <v>#REF!</v>
      </c>
      <c r="KA47" s="8"/>
      <c r="KB47" s="64" t="e">
        <f>KB44-KB45</f>
        <v>#REF!</v>
      </c>
      <c r="KC47" s="8"/>
      <c r="KD47" s="12" t="e">
        <f>KD44-KD45</f>
        <v>#REF!</v>
      </c>
      <c r="KE47" s="8"/>
      <c r="KF47" s="12" t="e">
        <f>KF44-KF45</f>
        <v>#REF!</v>
      </c>
      <c r="KG47" s="8"/>
      <c r="KH47" s="12" t="e">
        <f>KH44-KH45</f>
        <v>#REF!</v>
      </c>
      <c r="KK47" s="7" t="s">
        <v>43</v>
      </c>
      <c r="KL47" s="12" t="e">
        <f>KL44-KL45</f>
        <v>#REF!</v>
      </c>
      <c r="KM47" s="13"/>
      <c r="KN47" s="12" t="e">
        <f>KN44-KN45</f>
        <v>#REF!</v>
      </c>
      <c r="KO47" s="8"/>
      <c r="KP47" s="64" t="e">
        <f>KP44-KP45</f>
        <v>#REF!</v>
      </c>
      <c r="KQ47" s="8"/>
      <c r="KR47" s="12" t="e">
        <f>KR44-KR45</f>
        <v>#REF!</v>
      </c>
      <c r="KS47" s="8"/>
      <c r="KT47" s="12" t="e">
        <f>KT44-KT45</f>
        <v>#REF!</v>
      </c>
      <c r="KU47" s="8"/>
      <c r="KV47" s="12" t="e">
        <f>KV44-KV45</f>
        <v>#REF!</v>
      </c>
      <c r="KY47" s="7" t="s">
        <v>43</v>
      </c>
      <c r="KZ47" s="12" t="e">
        <f>KZ44-KZ45</f>
        <v>#REF!</v>
      </c>
      <c r="LA47" s="13"/>
      <c r="LB47" s="12" t="e">
        <f>LB44-LB45</f>
        <v>#REF!</v>
      </c>
      <c r="LC47" s="8"/>
      <c r="LD47" s="64" t="e">
        <f>LD44-LD45</f>
        <v>#REF!</v>
      </c>
      <c r="LE47" s="8"/>
      <c r="LF47" s="12" t="e">
        <f>LF44-LF45</f>
        <v>#REF!</v>
      </c>
      <c r="LG47" s="8"/>
      <c r="LH47" s="12" t="e">
        <f>LH44-LH45</f>
        <v>#REF!</v>
      </c>
      <c r="LI47" s="8"/>
      <c r="LJ47" s="12" t="e">
        <f>LJ44-LJ45</f>
        <v>#REF!</v>
      </c>
      <c r="LM47" s="7" t="s">
        <v>43</v>
      </c>
      <c r="LN47" s="12" t="e">
        <f>LN44-LN45</f>
        <v>#REF!</v>
      </c>
      <c r="LO47" s="13"/>
      <c r="LP47" s="12" t="e">
        <f>LP44-LP45</f>
        <v>#REF!</v>
      </c>
      <c r="LQ47" s="8"/>
      <c r="LR47" s="56" t="e">
        <f>LR44-LR45</f>
        <v>#REF!</v>
      </c>
      <c r="LS47" s="8"/>
      <c r="LT47" s="12" t="e">
        <f>LT44-LT45</f>
        <v>#REF!</v>
      </c>
      <c r="LU47" s="8"/>
      <c r="LV47" s="12" t="e">
        <f>LV44-LV45</f>
        <v>#REF!</v>
      </c>
      <c r="LW47" s="8"/>
      <c r="LX47" s="12" t="e">
        <f>LX44-LX45</f>
        <v>#REF!</v>
      </c>
      <c r="LZ47" s="7" t="s">
        <v>43</v>
      </c>
      <c r="MA47" s="12" t="e">
        <f>MA44-MA45</f>
        <v>#REF!</v>
      </c>
      <c r="MB47" s="13"/>
      <c r="MC47" s="12" t="e">
        <f>MC44-MC45</f>
        <v>#REF!</v>
      </c>
      <c r="MD47" s="8"/>
      <c r="ME47" s="56" t="e">
        <f>ME44-ME45</f>
        <v>#REF!</v>
      </c>
      <c r="MF47" s="63"/>
      <c r="MG47" s="12" t="e">
        <f>MG44-MG45</f>
        <v>#REF!</v>
      </c>
      <c r="MH47" s="8"/>
      <c r="MI47" s="12" t="e">
        <f>MI44-MI45</f>
        <v>#REF!</v>
      </c>
      <c r="MJ47" s="8"/>
      <c r="MK47" s="12" t="e">
        <f>MK44-MK45</f>
        <v>#REF!</v>
      </c>
      <c r="ML47" s="8"/>
      <c r="MM47" s="7" t="s">
        <v>43</v>
      </c>
      <c r="MN47" s="12" t="e">
        <f>MN44-MN45</f>
        <v>#REF!</v>
      </c>
      <c r="MO47" s="13"/>
      <c r="MP47" s="12" t="e">
        <f>MP44-MP45</f>
        <v>#REF!</v>
      </c>
      <c r="MQ47" s="8"/>
      <c r="MR47" s="64" t="e">
        <f>MR44-MR45</f>
        <v>#REF!</v>
      </c>
      <c r="MS47" s="8"/>
      <c r="MT47" s="12" t="e">
        <f>MT44-MT45</f>
        <v>#REF!</v>
      </c>
      <c r="MU47" s="8"/>
      <c r="MV47" s="12" t="e">
        <f>MV44-MV45</f>
        <v>#REF!</v>
      </c>
      <c r="MW47" s="8"/>
      <c r="MX47" s="12" t="e">
        <f>MX44-MX45</f>
        <v>#REF!</v>
      </c>
      <c r="NA47" s="7" t="s">
        <v>43</v>
      </c>
      <c r="NB47" s="12" t="e">
        <f>NB44-NB45</f>
        <v>#REF!</v>
      </c>
      <c r="NC47" s="13"/>
      <c r="ND47" s="12" t="e">
        <f>ND44-ND45</f>
        <v>#REF!</v>
      </c>
      <c r="NE47" s="8"/>
      <c r="NF47" s="64" t="e">
        <f>NF44-NF45</f>
        <v>#REF!</v>
      </c>
      <c r="NG47" s="8"/>
      <c r="NH47" s="12" t="e">
        <f>NH44-NH45</f>
        <v>#REF!</v>
      </c>
      <c r="NI47" s="8"/>
      <c r="NJ47" s="12" t="e">
        <f>NJ44-NJ45</f>
        <v>#REF!</v>
      </c>
      <c r="NK47" s="8"/>
      <c r="NL47" s="12" t="e">
        <f>NL44-NL45</f>
        <v>#REF!</v>
      </c>
      <c r="NO47" s="7" t="s">
        <v>43</v>
      </c>
      <c r="NP47" s="12" t="e">
        <f>NP44-NP45</f>
        <v>#REF!</v>
      </c>
      <c r="NQ47" s="13"/>
      <c r="NR47" s="12" t="e">
        <f>NR44-NR45</f>
        <v>#REF!</v>
      </c>
      <c r="NS47" s="8"/>
      <c r="NT47" s="56" t="e">
        <f>NT44-NT45</f>
        <v>#REF!</v>
      </c>
      <c r="NU47" s="8"/>
      <c r="NV47" s="12" t="e">
        <f>NV44-NV45</f>
        <v>#REF!</v>
      </c>
      <c r="NW47" s="8"/>
      <c r="NX47" s="12" t="e">
        <f>NX44-NX45</f>
        <v>#REF!</v>
      </c>
      <c r="NY47" s="8"/>
      <c r="NZ47" s="12" t="e">
        <f>NZ44-NZ45</f>
        <v>#REF!</v>
      </c>
      <c r="OB47" s="7" t="s">
        <v>43</v>
      </c>
      <c r="OC47" s="12" t="e">
        <f>OC44-OC45</f>
        <v>#REF!</v>
      </c>
      <c r="OD47" s="13"/>
      <c r="OE47" s="12" t="e">
        <f>OE44-OE45</f>
        <v>#REF!</v>
      </c>
      <c r="OF47" s="8"/>
      <c r="OG47" s="56" t="e">
        <f>OG44-OG45</f>
        <v>#REF!</v>
      </c>
      <c r="OH47" s="63"/>
      <c r="OI47" s="12" t="e">
        <f>OI44-OI45</f>
        <v>#REF!</v>
      </c>
      <c r="OJ47" s="8"/>
      <c r="OK47" s="12" t="e">
        <f>OK44-OK45</f>
        <v>#REF!</v>
      </c>
      <c r="OL47" s="8"/>
      <c r="OM47" s="12" t="e">
        <f>OM44-OM45</f>
        <v>#REF!</v>
      </c>
      <c r="OO47" s="7" t="s">
        <v>43</v>
      </c>
      <c r="OP47" s="12" t="e">
        <f>OP44-OP45</f>
        <v>#REF!</v>
      </c>
      <c r="OQ47" s="13"/>
      <c r="OR47" s="12" t="e">
        <f>OR44-OR45</f>
        <v>#REF!</v>
      </c>
      <c r="OS47" s="8"/>
      <c r="OT47" s="56" t="e">
        <f>OT44-OT45</f>
        <v>#REF!</v>
      </c>
      <c r="OU47" s="8"/>
      <c r="OV47" s="12" t="e">
        <f>OV44-OV45</f>
        <v>#REF!</v>
      </c>
      <c r="OW47" s="8"/>
      <c r="OX47" s="12" t="e">
        <f>OX44-OX45</f>
        <v>#REF!</v>
      </c>
      <c r="OY47" s="8"/>
      <c r="OZ47" s="12" t="e">
        <f>OZ44-OZ45</f>
        <v>#REF!</v>
      </c>
      <c r="PB47" s="7" t="s">
        <v>43</v>
      </c>
      <c r="PC47" s="12" t="e">
        <f>PC44-PC45</f>
        <v>#REF!</v>
      </c>
      <c r="PD47" s="13"/>
      <c r="PE47" s="12" t="e">
        <f>PE44-PE45</f>
        <v>#REF!</v>
      </c>
      <c r="PF47" s="8"/>
      <c r="PG47" s="41" t="e">
        <f>PG44-PG45</f>
        <v>#REF!</v>
      </c>
      <c r="PH47" s="12"/>
      <c r="PI47" s="12" t="e">
        <f>PI44-PI45</f>
        <v>#REF!</v>
      </c>
      <c r="PJ47" s="8"/>
      <c r="PK47" s="12" t="e">
        <f>PK44-PK45</f>
        <v>#REF!</v>
      </c>
      <c r="PL47" s="8"/>
      <c r="PM47" s="12" t="e">
        <f>PM44-PM45</f>
        <v>#REF!</v>
      </c>
      <c r="PO47" s="7" t="s">
        <v>43</v>
      </c>
      <c r="PP47" s="12" t="e">
        <f>PP44-PP45</f>
        <v>#REF!</v>
      </c>
      <c r="PQ47" s="13"/>
      <c r="PR47" s="12" t="e">
        <f>PR44-PR45</f>
        <v>#REF!</v>
      </c>
      <c r="PS47" s="8"/>
      <c r="PT47" s="41" t="e">
        <f>PT44-PT45</f>
        <v>#REF!</v>
      </c>
      <c r="PU47" s="12"/>
      <c r="PV47" s="12" t="e">
        <f>PV44-PV45</f>
        <v>#REF!</v>
      </c>
      <c r="PW47" s="8"/>
      <c r="PX47" s="12" t="e">
        <f>PX44-PX45</f>
        <v>#REF!</v>
      </c>
      <c r="PY47" s="8"/>
      <c r="PZ47" s="12" t="e">
        <f>PZ44-PZ45</f>
        <v>#REF!</v>
      </c>
      <c r="QB47" s="7" t="s">
        <v>43</v>
      </c>
      <c r="QC47" s="12" t="e">
        <f>QC44-QC45</f>
        <v>#REF!</v>
      </c>
      <c r="QD47" s="13"/>
      <c r="QE47" s="12" t="e">
        <f>QE44-QE45</f>
        <v>#REF!</v>
      </c>
      <c r="QF47" s="8"/>
      <c r="QG47" s="41">
        <f>QG44-QG45</f>
        <v>0</v>
      </c>
      <c r="QH47" s="12"/>
      <c r="QI47" s="12" t="e">
        <f>QI44-QI45</f>
        <v>#REF!</v>
      </c>
      <c r="QJ47" s="8"/>
      <c r="QK47" s="12" t="e">
        <f>QK44-QK45</f>
        <v>#REF!</v>
      </c>
      <c r="QL47" s="8"/>
      <c r="QM47" s="12" t="e">
        <f>QM44-QM45</f>
        <v>#REF!</v>
      </c>
      <c r="QO47" s="7" t="s">
        <v>43</v>
      </c>
      <c r="QP47" s="12" t="e">
        <f>QP44-QP45</f>
        <v>#REF!</v>
      </c>
      <c r="QQ47" s="13"/>
      <c r="QR47" s="12" t="e">
        <f>QR44-QR45</f>
        <v>#REF!</v>
      </c>
      <c r="QS47" s="8"/>
      <c r="QT47" s="12" t="e">
        <f>QT44-QT45</f>
        <v>#REF!</v>
      </c>
      <c r="QU47" s="12"/>
      <c r="QV47" s="12" t="e">
        <f>QV44-QV45</f>
        <v>#REF!</v>
      </c>
      <c r="QW47" s="8"/>
      <c r="QX47" s="12" t="e">
        <f>QX44-QX45</f>
        <v>#REF!</v>
      </c>
      <c r="QY47" s="8"/>
      <c r="QZ47" s="12" t="e">
        <f>QZ44-QZ45</f>
        <v>#REF!</v>
      </c>
      <c r="RB47" s="7" t="s">
        <v>43</v>
      </c>
      <c r="RC47" s="12" t="e">
        <f>RC44-RC45</f>
        <v>#REF!</v>
      </c>
      <c r="RD47" s="13"/>
      <c r="RE47" s="12" t="e">
        <f>RE44-RE45</f>
        <v>#REF!</v>
      </c>
      <c r="RF47" s="8"/>
      <c r="RG47" s="12" t="e">
        <f>RG44-RG45</f>
        <v>#REF!</v>
      </c>
      <c r="RH47" s="12"/>
      <c r="RI47" s="12" t="e">
        <f>RI44-RI45</f>
        <v>#REF!</v>
      </c>
      <c r="RJ47" s="8"/>
      <c r="RK47" s="12" t="e">
        <f>RK44-RK45</f>
        <v>#REF!</v>
      </c>
      <c r="RL47" s="8"/>
      <c r="RM47" s="12" t="e">
        <f>RM44-RM45</f>
        <v>#REF!</v>
      </c>
      <c r="RO47" s="7" t="s">
        <v>43</v>
      </c>
      <c r="RP47" s="12" t="e">
        <f>RP44-RP45</f>
        <v>#REF!</v>
      </c>
      <c r="RQ47" s="13"/>
      <c r="RR47" s="12" t="e">
        <f>RR44-RR45</f>
        <v>#REF!</v>
      </c>
      <c r="RS47" s="8"/>
      <c r="RT47" s="12" t="e">
        <f>RT44-RT45</f>
        <v>#REF!</v>
      </c>
      <c r="RU47" s="12"/>
      <c r="RV47" s="12" t="e">
        <f>RV44-RV45</f>
        <v>#REF!</v>
      </c>
      <c r="RW47" s="8"/>
      <c r="RX47" s="12" t="e">
        <f>RX44-RX45</f>
        <v>#REF!</v>
      </c>
      <c r="RY47" s="8"/>
      <c r="RZ47" s="46" t="e">
        <f>RZ44-RZ45</f>
        <v>#REF!</v>
      </c>
      <c r="SB47" s="7" t="s">
        <v>43</v>
      </c>
      <c r="SC47" s="12" t="e">
        <f>SC44-SC45</f>
        <v>#REF!</v>
      </c>
      <c r="SD47" s="13"/>
      <c r="SE47" s="12" t="e">
        <f>SE44-SE45</f>
        <v>#REF!</v>
      </c>
      <c r="SF47" s="8"/>
      <c r="SG47" s="12" t="e">
        <f>SG44-SG45</f>
        <v>#REF!</v>
      </c>
      <c r="SH47" s="12"/>
      <c r="SI47" s="12" t="e">
        <f>SI44-SI45</f>
        <v>#REF!</v>
      </c>
      <c r="SJ47" s="8"/>
      <c r="SK47" s="12" t="e">
        <f>SK44-SK45</f>
        <v>#REF!</v>
      </c>
      <c r="SL47" s="8"/>
      <c r="SM47" s="12" t="e">
        <f>SM44-SM45</f>
        <v>#REF!</v>
      </c>
      <c r="SO47" s="7" t="s">
        <v>43</v>
      </c>
      <c r="SP47" s="12" t="e">
        <f>SP44-SP45</f>
        <v>#REF!</v>
      </c>
      <c r="SQ47" s="13"/>
      <c r="SR47" s="12" t="e">
        <f>SR44-SR45</f>
        <v>#REF!</v>
      </c>
      <c r="SS47" s="8"/>
      <c r="ST47" s="12" t="e">
        <f>ST44-ST45</f>
        <v>#REF!</v>
      </c>
      <c r="SU47" s="12">
        <f>SU44-SU45</f>
        <v>0</v>
      </c>
      <c r="SV47" s="12" t="e">
        <f>SV44-SV45</f>
        <v>#REF!</v>
      </c>
      <c r="SW47" s="8"/>
      <c r="SX47" s="12" t="e">
        <f>SX44-SX45</f>
        <v>#REF!</v>
      </c>
      <c r="SY47" s="8"/>
      <c r="SZ47" s="12" t="e">
        <f>SZ44-SZ45</f>
        <v>#REF!</v>
      </c>
      <c r="TB47" s="7" t="s">
        <v>43</v>
      </c>
      <c r="TC47" s="12" t="e">
        <f>TC44-TC45</f>
        <v>#REF!</v>
      </c>
      <c r="TD47" s="13"/>
      <c r="TE47" s="12" t="e">
        <f>TE44-TE45</f>
        <v>#REF!</v>
      </c>
      <c r="TF47" s="8"/>
      <c r="TG47" s="12" t="e">
        <f>TG44-TG45</f>
        <v>#REF!</v>
      </c>
      <c r="TH47" s="12">
        <f>TH44-TH45</f>
        <v>0</v>
      </c>
      <c r="TI47" s="12" t="e">
        <f>TI44-TI45</f>
        <v>#REF!</v>
      </c>
      <c r="TJ47" s="8"/>
      <c r="TK47" s="12" t="e">
        <f>TK44-TK45</f>
        <v>#REF!</v>
      </c>
      <c r="TL47" s="8"/>
      <c r="TM47" s="12" t="e">
        <f>TM44-TM45</f>
        <v>#REF!</v>
      </c>
      <c r="TO47" s="7" t="s">
        <v>43</v>
      </c>
      <c r="TP47" s="12" t="e">
        <f>TP44-TP45</f>
        <v>#REF!</v>
      </c>
      <c r="TQ47" s="13"/>
      <c r="TR47" s="12" t="e">
        <f>TR44-TR45</f>
        <v>#REF!</v>
      </c>
      <c r="TS47" s="8"/>
      <c r="TT47" s="12" t="e">
        <f>TT44-TT45</f>
        <v>#REF!</v>
      </c>
      <c r="TU47" s="12">
        <f>TU44-TU45</f>
        <v>0</v>
      </c>
      <c r="TV47" s="12" t="e">
        <f>TV44-TV45</f>
        <v>#REF!</v>
      </c>
      <c r="TW47" s="8"/>
      <c r="TX47" s="12" t="e">
        <f>TX44-TX45</f>
        <v>#REF!</v>
      </c>
      <c r="TY47" s="8"/>
      <c r="TZ47" s="12" t="e">
        <f>TZ44-TZ45</f>
        <v>#REF!</v>
      </c>
      <c r="UB47" s="7" t="s">
        <v>43</v>
      </c>
      <c r="UC47" s="12" t="e">
        <f>UC44-UC45</f>
        <v>#REF!</v>
      </c>
      <c r="UD47" s="13"/>
      <c r="UE47" s="12" t="e">
        <f>UE44-UE45</f>
        <v>#REF!</v>
      </c>
      <c r="UF47" s="8"/>
      <c r="UG47" s="12" t="e">
        <f>UG44-UG45</f>
        <v>#REF!</v>
      </c>
      <c r="UH47" s="12">
        <f>UH44-UH45</f>
        <v>0</v>
      </c>
      <c r="UI47" s="12" t="e">
        <f>UI44-UI45</f>
        <v>#REF!</v>
      </c>
      <c r="UJ47" s="8"/>
      <c r="UK47" s="12" t="e">
        <f>UK44-UK45</f>
        <v>#REF!</v>
      </c>
      <c r="UL47" s="8"/>
      <c r="UM47" s="12" t="e">
        <f>UM44-UM45</f>
        <v>#REF!</v>
      </c>
      <c r="UO47" s="7" t="s">
        <v>43</v>
      </c>
      <c r="UP47" s="12" t="e">
        <f>UP44-UP45</f>
        <v>#REF!</v>
      </c>
      <c r="UQ47" s="13"/>
      <c r="UR47" s="12" t="e">
        <f>UR44-UR45</f>
        <v>#REF!</v>
      </c>
      <c r="US47" s="8"/>
      <c r="UT47" s="12" t="e">
        <f>UT44-UT45</f>
        <v>#REF!</v>
      </c>
      <c r="UU47" s="12">
        <f>UU44-UU45</f>
        <v>0</v>
      </c>
      <c r="UV47" s="12" t="e">
        <f>UV44-UV45</f>
        <v>#REF!</v>
      </c>
      <c r="UW47" s="8"/>
      <c r="UX47" s="12" t="e">
        <f>UX44-UX45</f>
        <v>#REF!</v>
      </c>
      <c r="UY47" s="8"/>
      <c r="UZ47" s="12" t="e">
        <f>UZ44-UZ45</f>
        <v>#REF!</v>
      </c>
      <c r="VB47" s="7" t="s">
        <v>43</v>
      </c>
      <c r="VC47" s="12" t="e">
        <f>VC44-VC45</f>
        <v>#REF!</v>
      </c>
      <c r="VD47" s="13"/>
      <c r="VE47" s="12" t="e">
        <f>VE44-VE45</f>
        <v>#REF!</v>
      </c>
      <c r="VF47" s="8"/>
      <c r="VG47" s="12" t="e">
        <f>VG44-VG45</f>
        <v>#REF!</v>
      </c>
      <c r="VH47" s="12">
        <f>VH44-VH45</f>
        <v>0</v>
      </c>
      <c r="VI47" s="12" t="e">
        <f>VI44-VI45</f>
        <v>#REF!</v>
      </c>
      <c r="VJ47" s="8"/>
      <c r="VK47" s="12" t="e">
        <f>VK44-VK45</f>
        <v>#REF!</v>
      </c>
      <c r="VL47" s="8"/>
      <c r="VM47" s="12" t="e">
        <f>VM44-VM45</f>
        <v>#REF!</v>
      </c>
      <c r="VO47" s="7" t="s">
        <v>43</v>
      </c>
      <c r="VP47" s="12" t="e">
        <f>VP44-VP45</f>
        <v>#REF!</v>
      </c>
      <c r="VQ47" s="13"/>
      <c r="VR47" s="12" t="e">
        <f>VR44-VR45</f>
        <v>#REF!</v>
      </c>
      <c r="VS47" s="8"/>
      <c r="VT47" s="12" t="e">
        <f>VT44-VT45</f>
        <v>#REF!</v>
      </c>
      <c r="VU47" s="12">
        <f>VU44-VU45</f>
        <v>0</v>
      </c>
      <c r="VV47" s="12" t="e">
        <f>VV44-VV45</f>
        <v>#REF!</v>
      </c>
      <c r="VW47" s="8"/>
      <c r="VX47" s="12" t="e">
        <f>VX44-VX45</f>
        <v>#REF!</v>
      </c>
      <c r="VY47" s="8"/>
      <c r="VZ47" s="12" t="e">
        <f>VZ44-VZ45</f>
        <v>#REF!</v>
      </c>
      <c r="WB47" s="7" t="s">
        <v>43</v>
      </c>
      <c r="WC47" s="12" t="e">
        <f>WC44-WC45</f>
        <v>#REF!</v>
      </c>
      <c r="WD47" s="13"/>
      <c r="WE47" s="12" t="e">
        <f>WE44-WE45</f>
        <v>#REF!</v>
      </c>
      <c r="WF47" s="8"/>
      <c r="WG47" s="12" t="e">
        <f>WG44-WG45</f>
        <v>#REF!</v>
      </c>
      <c r="WH47" s="12">
        <f>WH44-WH45</f>
        <v>0</v>
      </c>
      <c r="WI47" s="12" t="e">
        <f>WI44-WI45</f>
        <v>#REF!</v>
      </c>
      <c r="WJ47" s="8"/>
      <c r="WK47" s="12" t="e">
        <f>WK44-WK45</f>
        <v>#REF!</v>
      </c>
      <c r="WL47" s="8"/>
      <c r="WM47" s="12" t="e">
        <f>WM44-WM45</f>
        <v>#REF!</v>
      </c>
      <c r="WO47" s="7" t="s">
        <v>43</v>
      </c>
      <c r="WP47" s="12" t="e">
        <f>WP44-WP45</f>
        <v>#REF!</v>
      </c>
      <c r="WQ47" s="13"/>
      <c r="WR47" s="12" t="e">
        <f>WR44-WR45</f>
        <v>#REF!</v>
      </c>
      <c r="WS47" s="8"/>
      <c r="WT47" s="12" t="e">
        <f>WT44-WT45</f>
        <v>#REF!</v>
      </c>
      <c r="WU47" s="12">
        <f>WU44-WU45</f>
        <v>0</v>
      </c>
      <c r="WV47" s="12" t="e">
        <f>WV44-WV45</f>
        <v>#REF!</v>
      </c>
      <c r="WW47" s="8"/>
      <c r="WX47" s="12" t="e">
        <f>WX44-WX45</f>
        <v>#REF!</v>
      </c>
      <c r="WY47" s="8"/>
      <c r="WZ47" s="12" t="e">
        <f>WZ44-WZ45</f>
        <v>#REF!</v>
      </c>
      <c r="XB47" s="7" t="s">
        <v>43</v>
      </c>
      <c r="XC47" s="12" t="e">
        <f>XC44-XC45</f>
        <v>#REF!</v>
      </c>
      <c r="XD47" s="13"/>
      <c r="XE47" s="12" t="e">
        <f>XE44-XE45</f>
        <v>#REF!</v>
      </c>
      <c r="XF47" s="8"/>
      <c r="XG47" s="12" t="e">
        <f>XG44-XG45</f>
        <v>#REF!</v>
      </c>
      <c r="XH47" s="12">
        <f>XH44-XH45</f>
        <v>0</v>
      </c>
      <c r="XI47" s="12" t="e">
        <f>XI44-XI45</f>
        <v>#REF!</v>
      </c>
      <c r="XJ47" s="8"/>
      <c r="XK47" s="12" t="e">
        <f>XK44-XK45</f>
        <v>#REF!</v>
      </c>
      <c r="XL47" s="8"/>
      <c r="XM47" s="12" t="e">
        <f>XM44-XM45</f>
        <v>#REF!</v>
      </c>
      <c r="XO47" s="7" t="s">
        <v>43</v>
      </c>
      <c r="XP47" s="12" t="e">
        <f>XP44-XP45</f>
        <v>#REF!</v>
      </c>
      <c r="XQ47" s="13"/>
      <c r="XR47" s="12" t="e">
        <f>XR44-XR45</f>
        <v>#REF!</v>
      </c>
      <c r="XS47" s="8"/>
      <c r="XT47" s="12" t="e">
        <f>XT44-XT45</f>
        <v>#REF!</v>
      </c>
      <c r="XU47" s="12">
        <f>XU44-XU45</f>
        <v>0</v>
      </c>
      <c r="XV47" s="12" t="e">
        <f>XV44-XV45</f>
        <v>#REF!</v>
      </c>
      <c r="XW47" s="8"/>
      <c r="XX47" s="12" t="e">
        <f>XX44-XX45</f>
        <v>#REF!</v>
      </c>
      <c r="XY47" s="8"/>
      <c r="XZ47" s="12" t="e">
        <f>XZ44-XZ45</f>
        <v>#REF!</v>
      </c>
      <c r="YB47" s="7" t="s">
        <v>43</v>
      </c>
      <c r="YC47" s="12" t="e">
        <f>YC44-YC45</f>
        <v>#REF!</v>
      </c>
      <c r="YD47" s="13"/>
      <c r="YE47" s="12" t="e">
        <f>YE44-YE45</f>
        <v>#REF!</v>
      </c>
      <c r="YF47" s="8"/>
      <c r="YG47" s="12" t="e">
        <f>YG44-YG45</f>
        <v>#REF!</v>
      </c>
      <c r="YH47" s="12">
        <f>YH44-YH45</f>
        <v>0</v>
      </c>
      <c r="YI47" s="12" t="e">
        <f>YI44-YI45</f>
        <v>#REF!</v>
      </c>
      <c r="YJ47" s="8"/>
      <c r="YK47" s="12" t="e">
        <f>YK44-YK45</f>
        <v>#REF!</v>
      </c>
      <c r="YL47" s="8"/>
      <c r="YM47" s="12" t="e">
        <f>YM44-YM45</f>
        <v>#REF!</v>
      </c>
      <c r="YO47" s="7"/>
      <c r="YP47" s="12"/>
      <c r="YQ47" s="13"/>
      <c r="YR47" s="12"/>
      <c r="YS47" s="8"/>
      <c r="YT47" s="12"/>
      <c r="YU47" s="12"/>
      <c r="YV47" s="12"/>
      <c r="YW47" s="8"/>
      <c r="YX47" s="12"/>
      <c r="YY47" s="8"/>
      <c r="YZ47" s="12"/>
    </row>
    <row r="48" spans="1:676">
      <c r="B48" s="4"/>
      <c r="C48" s="4"/>
      <c r="D48" s="4"/>
      <c r="E48" s="4"/>
      <c r="F48" s="65"/>
      <c r="G48" s="4"/>
      <c r="H48" s="65"/>
      <c r="I48" s="4"/>
      <c r="J48" s="4"/>
      <c r="K48" s="4"/>
      <c r="L48" s="4"/>
      <c r="M48" s="4"/>
      <c r="N48" s="4"/>
      <c r="R48" s="4"/>
      <c r="S48" s="4"/>
      <c r="T48" s="4"/>
      <c r="U48" s="4"/>
      <c r="V48" s="65"/>
      <c r="W48" s="65"/>
      <c r="X48" s="65"/>
      <c r="Y48" s="4"/>
      <c r="Z48" s="4"/>
      <c r="AA48" s="4"/>
      <c r="AB48" s="4"/>
      <c r="AC48" s="4"/>
      <c r="AD48" s="63"/>
      <c r="AH48" s="4"/>
      <c r="AI48" s="4"/>
      <c r="AJ48" s="4"/>
      <c r="AK48" s="4"/>
      <c r="AL48" s="65"/>
      <c r="AM48" s="65"/>
      <c r="AN48" s="65"/>
      <c r="AO48" s="4"/>
      <c r="AP48" s="4"/>
      <c r="AQ48" s="4"/>
      <c r="AR48" s="4"/>
      <c r="AS48" s="4"/>
      <c r="AT48" s="63"/>
      <c r="AX48" s="4"/>
      <c r="AY48" s="4"/>
      <c r="AZ48" s="4"/>
      <c r="BA48" s="4"/>
      <c r="BB48" s="65"/>
      <c r="BC48" s="65"/>
      <c r="BD48" s="65"/>
      <c r="BE48" s="4"/>
      <c r="BF48" s="4"/>
      <c r="BG48" s="4"/>
      <c r="BH48" s="4"/>
      <c r="BI48" s="4"/>
      <c r="BJ48" s="4"/>
      <c r="BN48" s="4"/>
      <c r="BO48" s="4"/>
      <c r="BP48" s="4"/>
      <c r="BQ48" s="4"/>
      <c r="BR48" s="65"/>
      <c r="BS48" s="4"/>
      <c r="BT48" s="65"/>
      <c r="BU48" s="4"/>
      <c r="BV48" s="4"/>
      <c r="BW48" s="4"/>
      <c r="BX48" s="4"/>
      <c r="BY48" s="4"/>
      <c r="BZ48" s="4"/>
      <c r="CD48" s="4"/>
      <c r="CE48" s="4"/>
      <c r="CF48" s="4"/>
      <c r="CG48" s="4"/>
      <c r="CH48" s="65"/>
      <c r="CI48" s="65"/>
      <c r="CJ48" s="65"/>
      <c r="CK48" s="4"/>
      <c r="CL48" s="4"/>
      <c r="CM48" s="4"/>
      <c r="CN48" s="4"/>
      <c r="CO48" s="4"/>
      <c r="CP48" s="4"/>
      <c r="CT48" s="4"/>
      <c r="CU48" s="4"/>
      <c r="CV48" s="4"/>
      <c r="CW48" s="4"/>
      <c r="CX48" s="65"/>
      <c r="CY48" s="65"/>
      <c r="CZ48" s="65"/>
      <c r="DA48" s="4"/>
      <c r="DB48" s="4"/>
      <c r="DC48" s="4"/>
      <c r="DD48" s="4"/>
      <c r="DE48" s="4"/>
      <c r="DF48" s="4"/>
      <c r="DJ48" s="4"/>
      <c r="DK48" s="4"/>
      <c r="DL48" s="4"/>
      <c r="DM48" s="4"/>
      <c r="DN48" s="65"/>
      <c r="DO48" s="65"/>
      <c r="DP48" s="65"/>
      <c r="DQ48" s="4"/>
      <c r="DR48" s="4"/>
      <c r="DS48" s="4"/>
      <c r="DT48" s="4"/>
      <c r="DU48" s="4"/>
      <c r="DV48" s="4"/>
      <c r="DZ48" s="4"/>
      <c r="EA48" s="4"/>
      <c r="EB48" s="4"/>
      <c r="EC48" s="4"/>
      <c r="ED48" s="65"/>
      <c r="EE48" s="4"/>
      <c r="EF48" s="4"/>
      <c r="EG48" s="4"/>
      <c r="EH48" s="4"/>
      <c r="EI48" s="4"/>
      <c r="EJ48" s="4"/>
      <c r="EN48" s="4"/>
      <c r="EO48" s="4"/>
      <c r="EP48" s="4"/>
      <c r="EQ48" s="4"/>
      <c r="ER48" s="65"/>
      <c r="ES48" s="4"/>
      <c r="ET48" s="4"/>
      <c r="EU48" s="4"/>
      <c r="EV48" s="4"/>
      <c r="EW48" s="4"/>
      <c r="EX48" s="4"/>
      <c r="FB48" s="4"/>
      <c r="FC48" s="4"/>
      <c r="FD48" s="4"/>
      <c r="FE48" s="4"/>
      <c r="FF48" s="65"/>
      <c r="FG48" s="4"/>
      <c r="FH48" s="4"/>
      <c r="FI48" s="4"/>
      <c r="FJ48" s="4"/>
      <c r="FK48" s="4"/>
      <c r="FL48" s="4"/>
      <c r="FP48" s="4"/>
      <c r="FQ48" s="4"/>
      <c r="FR48" s="4"/>
      <c r="FS48" s="4"/>
      <c r="FT48" s="65"/>
      <c r="FU48" s="4"/>
      <c r="FV48" s="4"/>
      <c r="FW48" s="4"/>
      <c r="FX48" s="4"/>
      <c r="FY48" s="4"/>
      <c r="FZ48" s="4"/>
      <c r="GD48" s="4"/>
      <c r="GE48" s="4"/>
      <c r="GF48" s="4"/>
      <c r="GG48" s="4"/>
      <c r="GH48" s="65"/>
      <c r="GI48" s="4"/>
      <c r="GJ48" s="4"/>
      <c r="GK48" s="4"/>
      <c r="GL48" s="4"/>
      <c r="GM48" s="4"/>
      <c r="GN48" s="4"/>
      <c r="GR48" s="4"/>
      <c r="GS48" s="4"/>
      <c r="GT48" s="4"/>
      <c r="GU48" s="4"/>
      <c r="GV48" s="65"/>
      <c r="GW48" s="4"/>
      <c r="GX48" s="4"/>
      <c r="GY48" s="4"/>
      <c r="GZ48" s="4"/>
      <c r="HA48" s="4"/>
      <c r="HB48" s="4"/>
      <c r="HF48" s="4"/>
      <c r="HG48" s="4"/>
      <c r="HH48" s="4"/>
      <c r="HI48" s="4"/>
      <c r="HJ48" s="65"/>
      <c r="HK48" s="4"/>
      <c r="HL48" s="4"/>
      <c r="HM48" s="4"/>
      <c r="HN48" s="4"/>
      <c r="HO48" s="4"/>
      <c r="HP48" s="4"/>
      <c r="HT48" s="4"/>
      <c r="HU48" s="4"/>
      <c r="HV48" s="4"/>
      <c r="HW48" s="4"/>
      <c r="HX48" s="65"/>
      <c r="HY48" s="4"/>
      <c r="HZ48" s="4"/>
      <c r="IA48" s="4"/>
      <c r="IB48" s="4"/>
      <c r="IC48" s="4"/>
      <c r="ID48" s="4"/>
      <c r="IH48" s="4"/>
      <c r="II48" s="4"/>
      <c r="IJ48" s="4"/>
      <c r="IK48" s="4"/>
      <c r="IL48" s="65"/>
      <c r="IM48" s="4"/>
      <c r="IN48" s="4"/>
      <c r="IO48" s="4"/>
      <c r="IP48" s="4"/>
      <c r="IQ48" s="4"/>
      <c r="IR48" s="4"/>
      <c r="IV48" s="4"/>
      <c r="IW48" s="4"/>
      <c r="IX48" s="4"/>
      <c r="IY48" s="4"/>
      <c r="IZ48" s="65"/>
      <c r="JA48" s="4"/>
      <c r="JB48" s="4"/>
      <c r="JC48" s="4"/>
      <c r="JD48" s="4"/>
      <c r="JE48" s="4"/>
      <c r="JF48" s="4"/>
      <c r="JJ48" s="4"/>
      <c r="JK48" s="4"/>
      <c r="JL48" s="4"/>
      <c r="JM48" s="4"/>
      <c r="JN48" s="65"/>
      <c r="JO48" s="4"/>
      <c r="JP48" s="4"/>
      <c r="JQ48" s="4"/>
      <c r="JR48" s="4"/>
      <c r="JS48" s="4"/>
      <c r="JT48" s="4"/>
      <c r="JX48" s="4"/>
      <c r="JY48" s="4"/>
      <c r="JZ48" s="4"/>
      <c r="KA48" s="4"/>
      <c r="KB48" s="65"/>
      <c r="KC48" s="4"/>
      <c r="KD48" s="4"/>
      <c r="KE48" s="4"/>
      <c r="KF48" s="4"/>
      <c r="KG48" s="4"/>
      <c r="KH48" s="4"/>
      <c r="KL48" s="4"/>
      <c r="KM48" s="4"/>
      <c r="KN48" s="4"/>
      <c r="KO48" s="4"/>
      <c r="KP48" s="65"/>
      <c r="KQ48" s="4"/>
      <c r="KR48" s="4"/>
      <c r="KS48" s="4"/>
      <c r="KT48" s="4"/>
      <c r="KU48" s="4"/>
      <c r="KV48" s="4"/>
      <c r="KZ48" s="4"/>
      <c r="LA48" s="4"/>
      <c r="LB48" s="4"/>
      <c r="LC48" s="4"/>
      <c r="LD48" s="65"/>
      <c r="LE48" s="4"/>
      <c r="LF48" s="4"/>
      <c r="LG48" s="4"/>
      <c r="LH48" s="4"/>
      <c r="LI48" s="4"/>
      <c r="LJ48" s="4"/>
      <c r="LN48" s="4"/>
      <c r="LO48" s="4"/>
      <c r="LP48" s="4"/>
      <c r="LQ48" s="4"/>
      <c r="LR48" s="29"/>
      <c r="LS48" s="4"/>
      <c r="LT48" s="4"/>
      <c r="LU48" s="4"/>
      <c r="LV48" s="4"/>
      <c r="LW48" s="4"/>
      <c r="LX48" s="4"/>
      <c r="MA48" s="4"/>
      <c r="MB48" s="4"/>
      <c r="MC48" s="4"/>
      <c r="MD48" s="4"/>
      <c r="ME48" s="4"/>
      <c r="MF48" s="65"/>
      <c r="MG48" s="4"/>
      <c r="MH48" s="4"/>
      <c r="MI48" s="4"/>
      <c r="MJ48" s="4"/>
      <c r="MK48" s="4"/>
      <c r="ML48" s="4"/>
      <c r="MN48" s="4"/>
      <c r="MO48" s="4"/>
      <c r="MP48" s="4"/>
      <c r="MQ48" s="4"/>
      <c r="MR48" s="65"/>
      <c r="MS48" s="4"/>
      <c r="MT48" s="4"/>
      <c r="MU48" s="4"/>
      <c r="MV48" s="4"/>
      <c r="MW48" s="4"/>
      <c r="MX48" s="4"/>
      <c r="NB48" s="4"/>
      <c r="NC48" s="4"/>
      <c r="ND48" s="4"/>
      <c r="NE48" s="4"/>
      <c r="NF48" s="65"/>
      <c r="NG48" s="4"/>
      <c r="NH48" s="4"/>
      <c r="NI48" s="4"/>
      <c r="NJ48" s="4"/>
      <c r="NK48" s="4"/>
      <c r="NL48" s="4"/>
      <c r="NP48" s="4"/>
      <c r="NQ48" s="4"/>
      <c r="NR48" s="4"/>
      <c r="NS48" s="4"/>
      <c r="NT48" s="29"/>
      <c r="NU48" s="4"/>
      <c r="NV48" s="4"/>
      <c r="NW48" s="4"/>
      <c r="NX48" s="4"/>
      <c r="NY48" s="4"/>
      <c r="NZ48" s="4"/>
      <c r="OC48" s="4"/>
      <c r="OD48" s="4"/>
      <c r="OE48" s="4"/>
      <c r="OF48" s="4"/>
      <c r="OG48" s="4"/>
      <c r="OH48" s="65"/>
      <c r="OI48" s="4"/>
      <c r="OJ48" s="4"/>
      <c r="OK48" s="4"/>
      <c r="OL48" s="4"/>
      <c r="OM48" s="4"/>
      <c r="OP48" s="4"/>
      <c r="OQ48" s="4"/>
      <c r="OR48" s="4"/>
      <c r="OS48" s="4"/>
      <c r="OT48" s="4"/>
      <c r="OU48" s="4"/>
      <c r="OV48" s="4"/>
      <c r="OW48" s="4"/>
      <c r="OX48" s="4"/>
      <c r="OY48" s="4"/>
      <c r="OZ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C48" s="4"/>
      <c r="RD48" s="4"/>
      <c r="RE48" s="35"/>
      <c r="RF48" s="4"/>
      <c r="RG48" s="4"/>
      <c r="RH48" s="4"/>
      <c r="RI48" s="4"/>
      <c r="RJ48" s="4"/>
      <c r="RK48" s="4"/>
      <c r="RL48" s="4"/>
      <c r="RM48" s="4"/>
      <c r="RP48" s="4"/>
      <c r="RQ48" s="4"/>
      <c r="RR48" s="35"/>
      <c r="RS48" s="4"/>
      <c r="RT48" s="4"/>
      <c r="RU48" s="4"/>
      <c r="RV48" s="4"/>
      <c r="RW48" s="4"/>
      <c r="RX48" s="4"/>
      <c r="RY48" s="4"/>
      <c r="RZ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C48" s="4"/>
      <c r="TD48" s="4"/>
      <c r="TE48" s="4"/>
      <c r="TF48" s="4"/>
      <c r="TG48" s="4"/>
      <c r="TH48" s="4"/>
      <c r="TI48" s="4"/>
      <c r="TJ48" s="4"/>
      <c r="TK48" s="4"/>
      <c r="TL48" s="4"/>
      <c r="TM48" s="4"/>
      <c r="TP48" s="4"/>
      <c r="TQ48" s="4"/>
      <c r="TR48" s="4"/>
      <c r="TS48" s="4"/>
      <c r="TT48" s="4"/>
      <c r="TU48" s="4"/>
      <c r="TV48" s="4"/>
      <c r="TW48" s="4"/>
      <c r="TX48" s="4"/>
      <c r="TY48" s="4"/>
      <c r="TZ48" s="4"/>
      <c r="UC48" s="4"/>
      <c r="UD48" s="4"/>
      <c r="UE48" s="4"/>
      <c r="UF48" s="4"/>
      <c r="UG48" s="4"/>
      <c r="UH48" s="4"/>
      <c r="UI48" s="4"/>
      <c r="UJ48" s="4"/>
      <c r="UK48" s="4"/>
      <c r="UL48" s="4"/>
      <c r="UM48" s="4"/>
      <c r="UP48" s="4"/>
      <c r="UQ48" s="4"/>
      <c r="UR48" s="4"/>
      <c r="US48" s="4"/>
      <c r="UT48" s="4"/>
      <c r="UU48" s="4"/>
      <c r="UV48" s="4"/>
      <c r="UW48" s="4"/>
      <c r="UX48" s="4"/>
      <c r="UY48" s="4"/>
      <c r="UZ48" s="4"/>
      <c r="VC48" s="4"/>
      <c r="VD48" s="4"/>
      <c r="VE48" s="4"/>
      <c r="VF48" s="4"/>
      <c r="VG48" s="4"/>
      <c r="VH48" s="4"/>
      <c r="VI48" s="4"/>
      <c r="VJ48" s="4"/>
      <c r="VK48" s="4"/>
      <c r="VL48" s="4"/>
      <c r="VM48" s="4"/>
      <c r="VP48" s="4"/>
      <c r="VQ48" s="4"/>
      <c r="VR48" s="4"/>
      <c r="VS48" s="4"/>
      <c r="VT48" s="4"/>
      <c r="VU48" s="4"/>
      <c r="VV48" s="4"/>
      <c r="VW48" s="4"/>
      <c r="VX48" s="4"/>
      <c r="VY48" s="4"/>
      <c r="VZ48" s="4"/>
      <c r="WC48" s="4"/>
      <c r="WD48" s="4"/>
      <c r="WE48" s="4"/>
      <c r="WF48" s="4"/>
      <c r="WG48" s="4"/>
      <c r="WH48" s="4"/>
      <c r="WI48" s="4"/>
      <c r="WJ48" s="4"/>
      <c r="WK48" s="4"/>
      <c r="WL48" s="4"/>
      <c r="WM48" s="4"/>
      <c r="WP48" s="4"/>
      <c r="WQ48" s="4"/>
      <c r="WR48" s="4"/>
      <c r="WS48" s="4"/>
      <c r="WT48" s="4"/>
      <c r="WU48" s="4"/>
      <c r="WV48" s="4"/>
      <c r="WW48" s="4"/>
      <c r="WX48" s="4"/>
      <c r="WY48" s="4"/>
      <c r="WZ48" s="4"/>
      <c r="XC48" s="4"/>
      <c r="XD48" s="4"/>
      <c r="XE48" s="4"/>
      <c r="XF48" s="4"/>
      <c r="XG48" s="4"/>
      <c r="XH48" s="4"/>
      <c r="XI48" s="4"/>
      <c r="XJ48" s="4"/>
      <c r="XK48" s="4"/>
      <c r="XL48" s="4"/>
      <c r="XM48" s="4"/>
      <c r="XP48" s="4"/>
      <c r="XQ48" s="4"/>
      <c r="XR48" s="4"/>
      <c r="XS48" s="4"/>
      <c r="XT48" s="4"/>
      <c r="XU48" s="4"/>
      <c r="XV48" s="4"/>
      <c r="XW48" s="4"/>
      <c r="XX48" s="4"/>
      <c r="XY48" s="4"/>
      <c r="XZ48" s="4"/>
      <c r="YC48" s="4"/>
      <c r="YD48" s="4"/>
      <c r="YE48" s="4"/>
      <c r="YF48" s="4"/>
      <c r="YG48" s="4"/>
      <c r="YH48" s="4"/>
      <c r="YI48" s="4"/>
      <c r="YJ48" s="4"/>
      <c r="YK48" s="4"/>
      <c r="YL48" s="4"/>
      <c r="YM48" s="4"/>
      <c r="YP48" s="4"/>
      <c r="YQ48" s="4"/>
      <c r="YR48" s="4"/>
      <c r="YS48" s="4"/>
      <c r="YT48" s="4"/>
      <c r="YU48" s="4"/>
      <c r="YV48" s="4"/>
      <c r="YW48" s="4"/>
      <c r="YX48" s="4"/>
      <c r="YY48" s="4"/>
      <c r="YZ48" s="4"/>
    </row>
    <row r="49" spans="1:676" ht="10.4" hidden="1" customHeight="1">
      <c r="B49" s="4"/>
      <c r="C49" s="4"/>
      <c r="D49" s="4"/>
      <c r="E49" s="4"/>
      <c r="F49" s="65"/>
      <c r="G49" s="4"/>
      <c r="H49" s="65"/>
      <c r="I49" s="4"/>
      <c r="J49" s="4"/>
      <c r="K49" s="4"/>
      <c r="L49" s="4"/>
      <c r="M49" s="4"/>
      <c r="N49" s="4">
        <f>SUM(B49:L49)</f>
        <v>0</v>
      </c>
      <c r="R49" s="4"/>
      <c r="S49" s="4"/>
      <c r="T49" s="4"/>
      <c r="U49" s="4"/>
      <c r="V49" s="65"/>
      <c r="W49" s="65"/>
      <c r="X49" s="65"/>
      <c r="Y49" s="4"/>
      <c r="Z49" s="4"/>
      <c r="AA49" s="4"/>
      <c r="AB49" s="4"/>
      <c r="AC49" s="4"/>
      <c r="AD49" s="64">
        <f>SUM(R49:AB49)</f>
        <v>0</v>
      </c>
      <c r="AH49" s="4"/>
      <c r="AI49" s="4"/>
      <c r="AJ49" s="4"/>
      <c r="AK49" s="4"/>
      <c r="AL49" s="65"/>
      <c r="AM49" s="65"/>
      <c r="AN49" s="65"/>
      <c r="AO49" s="4"/>
      <c r="AP49" s="4"/>
      <c r="AQ49" s="4"/>
      <c r="AR49" s="4"/>
      <c r="AS49" s="4"/>
      <c r="AT49" s="64">
        <f>SUM(AH49:AR49)</f>
        <v>0</v>
      </c>
      <c r="AX49" s="4"/>
      <c r="AY49" s="4"/>
      <c r="AZ49" s="4"/>
      <c r="BA49" s="4"/>
      <c r="BB49" s="65"/>
      <c r="BC49" s="65"/>
      <c r="BD49" s="65"/>
      <c r="BE49" s="4"/>
      <c r="BF49" s="4"/>
      <c r="BG49" s="4"/>
      <c r="BH49" s="4"/>
      <c r="BI49" s="4"/>
      <c r="BJ49" s="4"/>
      <c r="BN49" s="4"/>
      <c r="BO49" s="4"/>
      <c r="BP49" s="4"/>
      <c r="BQ49" s="4"/>
      <c r="BR49" s="65"/>
      <c r="BS49" s="4"/>
      <c r="BT49" s="65"/>
      <c r="BU49" s="4"/>
      <c r="BV49" s="4"/>
      <c r="BW49" s="4"/>
      <c r="BX49" s="4"/>
      <c r="BY49" s="4"/>
      <c r="BZ49" s="4"/>
      <c r="CD49" s="4"/>
      <c r="CE49" s="4"/>
      <c r="CF49" s="4"/>
      <c r="CG49" s="4"/>
      <c r="CH49" s="65"/>
      <c r="CI49" s="65"/>
      <c r="CJ49" s="65"/>
      <c r="CK49" s="4"/>
      <c r="CL49" s="4"/>
      <c r="CM49" s="4"/>
      <c r="CN49" s="4"/>
      <c r="CO49" s="4"/>
      <c r="CP49" s="4"/>
      <c r="CT49" s="4"/>
      <c r="CU49" s="4"/>
      <c r="CV49" s="4"/>
      <c r="CW49" s="4"/>
      <c r="CX49" s="65"/>
      <c r="CY49" s="65"/>
      <c r="CZ49" s="65"/>
      <c r="DA49" s="4"/>
      <c r="DB49" s="4"/>
      <c r="DC49" s="4"/>
      <c r="DD49" s="4"/>
      <c r="DE49" s="4"/>
      <c r="DF49" s="4"/>
      <c r="DJ49" s="4"/>
      <c r="DK49" s="4"/>
      <c r="DL49" s="4"/>
      <c r="DM49" s="4"/>
      <c r="DN49" s="65"/>
      <c r="DO49" s="65"/>
      <c r="DP49" s="65"/>
      <c r="DQ49" s="4"/>
      <c r="DR49" s="4"/>
      <c r="DS49" s="4"/>
      <c r="DT49" s="4"/>
      <c r="DU49" s="4"/>
      <c r="DV49" s="4"/>
      <c r="DZ49" s="4"/>
      <c r="EA49" s="4"/>
      <c r="EB49" s="4"/>
      <c r="EC49" s="4"/>
      <c r="ED49" s="65"/>
      <c r="EE49" s="4"/>
      <c r="EF49" s="4"/>
      <c r="EG49" s="4"/>
      <c r="EH49" s="4"/>
      <c r="EI49" s="4"/>
      <c r="EJ49" s="4"/>
      <c r="EN49" s="4"/>
      <c r="EO49" s="4"/>
      <c r="EP49" s="4"/>
      <c r="EQ49" s="4"/>
      <c r="ER49" s="65"/>
      <c r="ES49" s="4"/>
      <c r="ET49" s="4"/>
      <c r="EU49" s="4"/>
      <c r="EV49" s="4"/>
      <c r="EW49" s="4"/>
      <c r="EX49" s="4"/>
      <c r="FB49" s="4"/>
      <c r="FC49" s="4"/>
      <c r="FD49" s="4"/>
      <c r="FE49" s="4"/>
      <c r="FF49" s="65"/>
      <c r="FG49" s="4"/>
      <c r="FH49" s="4"/>
      <c r="FI49" s="4"/>
      <c r="FJ49" s="4"/>
      <c r="FK49" s="4"/>
      <c r="FL49" s="4"/>
      <c r="FP49" s="4"/>
      <c r="FQ49" s="4"/>
      <c r="FR49" s="4"/>
      <c r="FS49" s="4"/>
      <c r="FT49" s="65"/>
      <c r="FU49" s="4"/>
      <c r="FV49" s="4"/>
      <c r="FW49" s="4"/>
      <c r="FX49" s="4"/>
      <c r="FY49" s="4"/>
      <c r="FZ49" s="4"/>
      <c r="GD49" s="4"/>
      <c r="GE49" s="4"/>
      <c r="GF49" s="4"/>
      <c r="GG49" s="4"/>
      <c r="GH49" s="65"/>
      <c r="GI49" s="4"/>
      <c r="GJ49" s="4"/>
      <c r="GK49" s="4"/>
      <c r="GL49" s="4"/>
      <c r="GM49" s="4"/>
      <c r="GN49" s="4"/>
      <c r="GR49" s="4"/>
      <c r="GS49" s="4"/>
      <c r="GT49" s="4"/>
      <c r="GU49" s="4"/>
      <c r="GV49" s="65"/>
      <c r="GW49" s="4"/>
      <c r="GX49" s="4"/>
      <c r="GY49" s="4"/>
      <c r="GZ49" s="4"/>
      <c r="HA49" s="4"/>
      <c r="HB49" s="4"/>
      <c r="HF49" s="4"/>
      <c r="HG49" s="4"/>
      <c r="HH49" s="4"/>
      <c r="HI49" s="4"/>
      <c r="HJ49" s="65"/>
      <c r="HK49" s="4"/>
      <c r="HL49" s="4"/>
      <c r="HM49" s="4"/>
      <c r="HN49" s="4"/>
      <c r="HO49" s="4"/>
      <c r="HP49" s="4"/>
      <c r="HT49" s="4"/>
      <c r="HU49" s="4"/>
      <c r="HV49" s="4"/>
      <c r="HW49" s="4"/>
      <c r="HX49" s="65"/>
      <c r="HY49" s="4"/>
      <c r="HZ49" s="4"/>
      <c r="IA49" s="4"/>
      <c r="IB49" s="4"/>
      <c r="IC49" s="4"/>
      <c r="ID49" s="4"/>
      <c r="IH49" s="4"/>
      <c r="II49" s="4"/>
      <c r="IJ49" s="4"/>
      <c r="IK49" s="4"/>
      <c r="IL49" s="65"/>
      <c r="IM49" s="4"/>
      <c r="IN49" s="4"/>
      <c r="IO49" s="4"/>
      <c r="IP49" s="4"/>
      <c r="IQ49" s="4"/>
      <c r="IR49" s="4"/>
      <c r="IV49" s="4"/>
      <c r="IW49" s="4"/>
      <c r="IX49" s="4"/>
      <c r="IY49" s="4"/>
      <c r="IZ49" s="65"/>
      <c r="JA49" s="4"/>
      <c r="JB49" s="4"/>
      <c r="JC49" s="4"/>
      <c r="JD49" s="4"/>
      <c r="JE49" s="4"/>
      <c r="JF49" s="4"/>
      <c r="JJ49" s="4"/>
      <c r="JK49" s="4"/>
      <c r="JL49" s="4"/>
      <c r="JM49" s="4"/>
      <c r="JN49" s="65"/>
      <c r="JO49" s="4"/>
      <c r="JP49" s="4"/>
      <c r="JQ49" s="4"/>
      <c r="JR49" s="4"/>
      <c r="JS49" s="4"/>
      <c r="JT49" s="4"/>
      <c r="JX49" s="4"/>
      <c r="JY49" s="4"/>
      <c r="JZ49" s="4"/>
      <c r="KA49" s="4"/>
      <c r="KB49" s="65"/>
      <c r="KC49" s="4"/>
      <c r="KD49" s="4"/>
      <c r="KE49" s="4"/>
      <c r="KF49" s="4"/>
      <c r="KG49" s="4"/>
      <c r="KH49" s="4"/>
      <c r="KL49" s="4"/>
      <c r="KM49" s="4"/>
      <c r="KN49" s="4"/>
      <c r="KO49" s="4"/>
      <c r="KP49" s="65"/>
      <c r="KQ49" s="4"/>
      <c r="KR49" s="4"/>
      <c r="KS49" s="4"/>
      <c r="KT49" s="4"/>
      <c r="KU49" s="4"/>
      <c r="KV49" s="4"/>
      <c r="KZ49" s="4"/>
      <c r="LA49" s="4"/>
      <c r="LB49" s="4"/>
      <c r="LC49" s="4"/>
      <c r="LD49" s="65"/>
      <c r="LE49" s="4"/>
      <c r="LF49" s="4"/>
      <c r="LG49" s="4"/>
      <c r="LH49" s="4"/>
      <c r="LI49" s="4"/>
      <c r="LJ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MA49" s="4"/>
      <c r="MB49" s="4"/>
      <c r="MC49" s="4"/>
      <c r="MD49" s="4"/>
      <c r="ME49" s="4"/>
      <c r="MF49" s="65"/>
      <c r="MG49" s="4"/>
      <c r="MH49" s="4"/>
      <c r="MI49" s="4"/>
      <c r="MJ49" s="4"/>
      <c r="MK49" s="4"/>
      <c r="ML49" s="4"/>
      <c r="MN49" s="4"/>
      <c r="MO49" s="4"/>
      <c r="MP49" s="4"/>
      <c r="MQ49" s="4"/>
      <c r="MR49" s="65"/>
      <c r="MS49" s="4"/>
      <c r="MT49" s="4"/>
      <c r="MU49" s="4"/>
      <c r="MV49" s="4"/>
      <c r="MW49" s="4"/>
      <c r="MX49" s="4"/>
      <c r="NB49" s="4"/>
      <c r="NC49" s="4"/>
      <c r="ND49" s="4"/>
      <c r="NE49" s="4"/>
      <c r="NF49" s="65"/>
      <c r="NG49" s="4"/>
      <c r="NH49" s="4"/>
      <c r="NI49" s="4"/>
      <c r="NJ49" s="4"/>
      <c r="NK49" s="4"/>
      <c r="NL49" s="4"/>
      <c r="NP49" s="4"/>
      <c r="NQ49" s="4"/>
      <c r="NR49" s="4"/>
      <c r="NS49" s="4"/>
      <c r="NT49" s="4"/>
      <c r="NU49" s="4"/>
      <c r="NV49" s="4"/>
      <c r="NW49" s="4"/>
      <c r="NX49" s="4"/>
      <c r="NY49" s="4"/>
      <c r="NZ49" s="4"/>
      <c r="OC49" s="4"/>
      <c r="OD49" s="4"/>
      <c r="OE49" s="4"/>
      <c r="OF49" s="4"/>
      <c r="OG49" s="4"/>
      <c r="OH49" s="65"/>
      <c r="OI49" s="4"/>
      <c r="OJ49" s="4"/>
      <c r="OK49" s="4"/>
      <c r="OL49" s="4"/>
      <c r="OM49" s="4"/>
      <c r="OP49" s="4"/>
      <c r="OQ49" s="4"/>
      <c r="OR49" s="4"/>
      <c r="OS49" s="4"/>
      <c r="OT49" s="4"/>
      <c r="OU49" s="4"/>
      <c r="OV49" s="4"/>
      <c r="OW49" s="4"/>
      <c r="OX49" s="4"/>
      <c r="OY49" s="4"/>
      <c r="OZ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C49" s="4"/>
      <c r="TD49" s="4"/>
      <c r="TE49" s="4"/>
      <c r="TF49" s="4"/>
      <c r="TG49" s="4"/>
      <c r="TH49" s="4"/>
      <c r="TI49" s="4"/>
      <c r="TJ49" s="4"/>
      <c r="TK49" s="4"/>
      <c r="TL49" s="4"/>
      <c r="TM49" s="4"/>
      <c r="TP49" s="4"/>
      <c r="TQ49" s="4"/>
      <c r="TR49" s="4"/>
      <c r="TS49" s="4"/>
      <c r="TT49" s="4"/>
      <c r="TU49" s="4"/>
      <c r="TV49" s="4"/>
      <c r="TW49" s="4"/>
      <c r="TX49" s="4"/>
      <c r="TY49" s="4"/>
      <c r="TZ49" s="4"/>
      <c r="UC49" s="4"/>
      <c r="UD49" s="4"/>
      <c r="UE49" s="4"/>
      <c r="UF49" s="4"/>
      <c r="UG49" s="4"/>
      <c r="UH49" s="4"/>
      <c r="UI49" s="4"/>
      <c r="UJ49" s="4"/>
      <c r="UK49" s="4"/>
      <c r="UL49" s="4"/>
      <c r="UM49" s="4"/>
      <c r="UP49" s="4"/>
      <c r="UQ49" s="4"/>
      <c r="UR49" s="4"/>
      <c r="US49" s="4"/>
      <c r="UT49" s="4"/>
      <c r="UU49" s="4"/>
      <c r="UV49" s="4"/>
      <c r="UW49" s="4"/>
      <c r="UX49" s="4"/>
      <c r="UY49" s="4"/>
      <c r="UZ49" s="4"/>
      <c r="VC49" s="4"/>
      <c r="VD49" s="4"/>
      <c r="VE49" s="4"/>
      <c r="VF49" s="4"/>
      <c r="VG49" s="4"/>
      <c r="VH49" s="4"/>
      <c r="VI49" s="4"/>
      <c r="VJ49" s="4"/>
      <c r="VK49" s="4"/>
      <c r="VL49" s="4"/>
      <c r="VM49" s="4"/>
      <c r="VP49" s="4"/>
      <c r="VQ49" s="4"/>
      <c r="VR49" s="4"/>
      <c r="VS49" s="4"/>
      <c r="VT49" s="4"/>
      <c r="VU49" s="4"/>
      <c r="VV49" s="4"/>
      <c r="VW49" s="4"/>
      <c r="VX49" s="4"/>
      <c r="VY49" s="4"/>
      <c r="VZ49" s="4"/>
      <c r="WC49" s="4"/>
      <c r="WD49" s="4"/>
      <c r="WE49" s="4"/>
      <c r="WF49" s="4"/>
      <c r="WG49" s="4"/>
      <c r="WH49" s="4"/>
      <c r="WI49" s="4"/>
      <c r="WJ49" s="4"/>
      <c r="WK49" s="4"/>
      <c r="WL49" s="4"/>
      <c r="WM49" s="4"/>
      <c r="WP49" s="4"/>
      <c r="WQ49" s="4"/>
      <c r="WR49" s="4"/>
      <c r="WS49" s="4"/>
      <c r="WT49" s="4"/>
      <c r="WU49" s="4"/>
      <c r="WV49" s="4"/>
      <c r="WW49" s="4"/>
      <c r="WX49" s="4"/>
      <c r="WY49" s="4"/>
      <c r="WZ49" s="4"/>
      <c r="XC49" s="4"/>
      <c r="XD49" s="4"/>
      <c r="XE49" s="4"/>
      <c r="XF49" s="4"/>
      <c r="XG49" s="4"/>
      <c r="XH49" s="4"/>
      <c r="XI49" s="4"/>
      <c r="XJ49" s="4"/>
      <c r="XK49" s="4"/>
      <c r="XL49" s="4"/>
      <c r="XM49" s="4"/>
      <c r="XP49" s="4"/>
      <c r="XQ49" s="4"/>
      <c r="XR49" s="4">
        <v>-55953.30000000001</v>
      </c>
      <c r="XS49" s="4"/>
      <c r="XT49" s="4"/>
      <c r="XU49" s="4"/>
      <c r="XV49" s="4"/>
      <c r="XW49" s="4"/>
      <c r="XX49" s="4"/>
      <c r="XY49" s="4"/>
      <c r="XZ49" s="4"/>
      <c r="YC49" s="4"/>
      <c r="YD49" s="4"/>
      <c r="YE49" s="4"/>
      <c r="YF49" s="4"/>
      <c r="YG49" s="4"/>
      <c r="YH49" s="4"/>
      <c r="YI49" s="4"/>
      <c r="YJ49" s="4"/>
      <c r="YK49" s="4"/>
      <c r="YL49" s="4"/>
      <c r="YM49" s="4"/>
      <c r="YP49" s="4"/>
      <c r="YQ49" s="4"/>
      <c r="YR49" s="4"/>
      <c r="YS49" s="4"/>
      <c r="YT49" s="4"/>
      <c r="YU49" s="4"/>
      <c r="YV49" s="4"/>
      <c r="YW49" s="4"/>
      <c r="YX49" s="4"/>
      <c r="YY49" s="4"/>
      <c r="YZ49" s="4"/>
    </row>
    <row r="50" spans="1:676" ht="12" customHeight="1" thickBot="1">
      <c r="A50" s="7" t="s">
        <v>128</v>
      </c>
      <c r="B50" s="12">
        <v>0</v>
      </c>
      <c r="C50" s="13"/>
      <c r="D50" s="12">
        <v>0</v>
      </c>
      <c r="E50" s="8"/>
      <c r="F50" s="12">
        <v>0</v>
      </c>
      <c r="G50" s="8"/>
      <c r="H50" s="12" t="e">
        <f>H44-H45</f>
        <v>#REF!</v>
      </c>
      <c r="I50" s="8"/>
      <c r="J50" s="12">
        <v>0</v>
      </c>
      <c r="K50" s="8"/>
      <c r="L50" s="12">
        <v>0</v>
      </c>
      <c r="M50" s="8"/>
      <c r="N50" s="12" t="e">
        <f>SUM(B50:L50)</f>
        <v>#REF!</v>
      </c>
      <c r="Q50" s="7" t="s">
        <v>128</v>
      </c>
      <c r="R50" s="64">
        <v>0</v>
      </c>
      <c r="S50" s="72"/>
      <c r="T50" s="64">
        <v>0</v>
      </c>
      <c r="U50" s="63"/>
      <c r="V50" s="64">
        <v>0</v>
      </c>
      <c r="W50" s="63"/>
      <c r="X50" s="64" t="e">
        <f>X44-X45</f>
        <v>#REF!</v>
      </c>
      <c r="Y50" s="63"/>
      <c r="Z50" s="64">
        <v>0</v>
      </c>
      <c r="AA50" s="63"/>
      <c r="AB50" s="64">
        <v>0</v>
      </c>
      <c r="AC50" s="8"/>
      <c r="AD50" s="64" t="e">
        <f>SUM(R50:AB50)</f>
        <v>#REF!</v>
      </c>
      <c r="AG50" s="7" t="s">
        <v>128</v>
      </c>
      <c r="AH50" s="64">
        <v>0</v>
      </c>
      <c r="AI50" s="72"/>
      <c r="AJ50" s="64">
        <v>0</v>
      </c>
      <c r="AK50" s="63"/>
      <c r="AL50" s="64">
        <v>0</v>
      </c>
      <c r="AM50" s="63"/>
      <c r="AN50" s="64" t="e">
        <f>AN44-AN45</f>
        <v>#REF!</v>
      </c>
      <c r="AO50" s="63"/>
      <c r="AP50" s="64">
        <v>0</v>
      </c>
      <c r="AQ50" s="63"/>
      <c r="AR50" s="64">
        <v>0</v>
      </c>
      <c r="AS50" s="8"/>
      <c r="AT50" s="64" t="e">
        <f>SUM(AH50:AR50)</f>
        <v>#REF!</v>
      </c>
      <c r="AW50" s="7" t="s">
        <v>128</v>
      </c>
      <c r="AX50" s="12">
        <v>0</v>
      </c>
      <c r="AY50" s="13"/>
      <c r="AZ50" s="12">
        <v>0</v>
      </c>
      <c r="BA50" s="8"/>
      <c r="BB50" s="12">
        <v>0</v>
      </c>
      <c r="BC50" s="8"/>
      <c r="BD50" s="12" t="e">
        <f>BD44-BD45</f>
        <v>#REF!</v>
      </c>
      <c r="BE50" s="8"/>
      <c r="BF50" s="12">
        <v>0</v>
      </c>
      <c r="BG50" s="8"/>
      <c r="BH50" s="12">
        <v>0</v>
      </c>
      <c r="BI50" s="8"/>
      <c r="BJ50" s="64" t="e">
        <f t="shared" ref="BJ50" si="545">SUM(AX50:BH50)</f>
        <v>#REF!</v>
      </c>
      <c r="BM50" s="7" t="s">
        <v>128</v>
      </c>
      <c r="BN50" s="12">
        <v>0</v>
      </c>
      <c r="BO50" s="13"/>
      <c r="BP50" s="12">
        <v>0</v>
      </c>
      <c r="BQ50" s="8"/>
      <c r="BR50" s="12">
        <v>0</v>
      </c>
      <c r="BS50" s="8"/>
      <c r="BT50" s="12" t="e">
        <f>BT44-BT45</f>
        <v>#REF!</v>
      </c>
      <c r="BU50" s="8"/>
      <c r="BV50" s="12">
        <v>0</v>
      </c>
      <c r="BW50" s="8"/>
      <c r="BX50" s="12">
        <v>0</v>
      </c>
      <c r="BY50" s="8"/>
      <c r="BZ50" s="12" t="e">
        <f>SUM(BN50:BX50)</f>
        <v>#REF!</v>
      </c>
      <c r="CC50" s="7" t="s">
        <v>128</v>
      </c>
      <c r="CD50" s="12">
        <v>0</v>
      </c>
      <c r="CE50" s="13"/>
      <c r="CF50" s="12">
        <v>0</v>
      </c>
      <c r="CG50" s="8"/>
      <c r="CH50" s="12">
        <v>0</v>
      </c>
      <c r="CI50" s="8"/>
      <c r="CJ50" s="12" t="e">
        <f>CJ44-CJ45</f>
        <v>#REF!</v>
      </c>
      <c r="CK50" s="8"/>
      <c r="CL50" s="12">
        <v>0</v>
      </c>
      <c r="CM50" s="8"/>
      <c r="CN50" s="12">
        <v>0</v>
      </c>
      <c r="CO50" s="8"/>
      <c r="CP50" s="12" t="e">
        <f>SUM(CD50:CN50)</f>
        <v>#REF!</v>
      </c>
      <c r="CS50" s="7" t="s">
        <v>128</v>
      </c>
      <c r="CT50" s="12">
        <v>0</v>
      </c>
      <c r="CU50" s="13"/>
      <c r="CV50" s="12">
        <v>0</v>
      </c>
      <c r="CW50" s="8"/>
      <c r="CX50" s="12">
        <v>0</v>
      </c>
      <c r="CY50" s="8"/>
      <c r="CZ50" s="12" t="e">
        <f>CZ44-CZ45</f>
        <v>#REF!</v>
      </c>
      <c r="DA50" s="8"/>
      <c r="DB50" s="12">
        <v>0</v>
      </c>
      <c r="DC50" s="8"/>
      <c r="DD50" s="12">
        <v>0</v>
      </c>
      <c r="DE50" s="8"/>
      <c r="DF50" s="12" t="e">
        <f>SUM(CT50:DD50)</f>
        <v>#REF!</v>
      </c>
      <c r="DI50" s="7" t="s">
        <v>128</v>
      </c>
      <c r="DJ50" s="12">
        <v>0</v>
      </c>
      <c r="DK50" s="13"/>
      <c r="DL50" s="12">
        <v>0</v>
      </c>
      <c r="DM50" s="8"/>
      <c r="DN50" s="12">
        <v>0</v>
      </c>
      <c r="DO50" s="8"/>
      <c r="DP50" s="12" t="e">
        <f>DP44-DP45</f>
        <v>#REF!</v>
      </c>
      <c r="DQ50" s="8"/>
      <c r="DR50" s="12">
        <v>0</v>
      </c>
      <c r="DS50" s="8"/>
      <c r="DT50" s="12">
        <v>0</v>
      </c>
      <c r="DU50" s="8"/>
      <c r="DV50" s="12" t="e">
        <f>SUM(DJ50:DT50)</f>
        <v>#REF!</v>
      </c>
      <c r="DY50" s="7" t="s">
        <v>100</v>
      </c>
      <c r="DZ50" s="12" t="e">
        <f>DZ47</f>
        <v>#REF!</v>
      </c>
      <c r="EA50" s="13"/>
      <c r="EB50" s="12" t="e">
        <f>EB47</f>
        <v>#REF!</v>
      </c>
      <c r="EC50" s="8"/>
      <c r="ED50" s="12">
        <v>0</v>
      </c>
      <c r="EE50" s="8"/>
      <c r="EF50" s="12">
        <f>EF23-ET23</f>
        <v>-6242494.6525801411</v>
      </c>
      <c r="EG50" s="8"/>
      <c r="EH50" s="12">
        <f>EH23-EV23</f>
        <v>616771.52286579262</v>
      </c>
      <c r="EI50" s="8"/>
      <c r="EJ50" s="12" t="e">
        <f>SUM(DZ50:EH50)</f>
        <v>#REF!</v>
      </c>
      <c r="EM50" s="7" t="s">
        <v>100</v>
      </c>
      <c r="EN50" s="12" t="e">
        <f>EN47</f>
        <v>#REF!</v>
      </c>
      <c r="EO50" s="13"/>
      <c r="EP50" s="12" t="e">
        <f>EP47</f>
        <v>#REF!</v>
      </c>
      <c r="EQ50" s="8"/>
      <c r="ER50" s="12">
        <v>0</v>
      </c>
      <c r="ES50" s="8"/>
      <c r="ET50" s="12" t="e">
        <f>ET47</f>
        <v>#REF!</v>
      </c>
      <c r="EU50" s="8"/>
      <c r="EV50" s="12">
        <f>EV23-FJ23</f>
        <v>-441551.92618166655</v>
      </c>
      <c r="EW50" s="8"/>
      <c r="EX50" s="12" t="e">
        <f>SUM(EN50:EV50)</f>
        <v>#REF!</v>
      </c>
      <c r="FA50" s="7" t="s">
        <v>100</v>
      </c>
      <c r="FB50" s="12">
        <f>FB23-FP23</f>
        <v>-21824044.093367323</v>
      </c>
      <c r="FC50" s="13"/>
      <c r="FD50" s="12">
        <f>FD23-FR23</f>
        <v>-7451179.728829084</v>
      </c>
      <c r="FE50" s="8"/>
      <c r="FF50" s="12">
        <f>FF23-FT23</f>
        <v>0</v>
      </c>
      <c r="FG50" s="8"/>
      <c r="FH50" s="12">
        <f>FH23-FV23</f>
        <v>-2064194.8828055777</v>
      </c>
      <c r="FI50" s="8"/>
      <c r="FJ50" s="12">
        <f>FJ23-FX23</f>
        <v>-51180.396930687486</v>
      </c>
      <c r="FK50" s="8"/>
      <c r="FL50" s="12">
        <f>SUM(FB50:FJ50)</f>
        <v>-31390599.101932675</v>
      </c>
      <c r="FO50" s="7" t="s">
        <v>100</v>
      </c>
      <c r="FP50" s="12">
        <f>FP23</f>
        <v>-54381202.318833336</v>
      </c>
      <c r="FQ50" s="13"/>
      <c r="FR50" s="12">
        <f>FR23</f>
        <v>-6106632.1899999995</v>
      </c>
      <c r="FS50" s="8"/>
      <c r="FT50" s="12">
        <f>FT23</f>
        <v>0</v>
      </c>
      <c r="FU50" s="8"/>
      <c r="FV50" s="12">
        <f>FV23</f>
        <v>-1993514.9100000008</v>
      </c>
      <c r="FW50" s="8"/>
      <c r="FX50" s="12">
        <f>FX23</f>
        <v>-35779.655085312661</v>
      </c>
      <c r="FY50" s="8"/>
      <c r="FZ50" s="12">
        <f>SUM(FP50:FX50)</f>
        <v>-62517129.073918648</v>
      </c>
      <c r="GC50" s="7" t="s">
        <v>100</v>
      </c>
      <c r="GD50" s="12" t="e">
        <f>GD47</f>
        <v>#REF!</v>
      </c>
      <c r="GE50" s="13"/>
      <c r="GF50" s="12" t="e">
        <f>GF47</f>
        <v>#REF!</v>
      </c>
      <c r="GG50" s="8"/>
      <c r="GH50" s="12">
        <v>0</v>
      </c>
      <c r="GI50" s="8"/>
      <c r="GJ50" s="12" t="e">
        <f>GJ47</f>
        <v>#REF!</v>
      </c>
      <c r="GK50" s="8"/>
      <c r="GL50" s="12" t="e">
        <f>GL47</f>
        <v>#REF!</v>
      </c>
      <c r="GM50" s="8"/>
      <c r="GN50" s="12" t="e">
        <f>SUM(GD50:GL50)</f>
        <v>#REF!</v>
      </c>
      <c r="GQ50" s="7" t="s">
        <v>100</v>
      </c>
      <c r="GR50" s="12" t="e">
        <f>GR47</f>
        <v>#REF!</v>
      </c>
      <c r="GS50" s="13"/>
      <c r="GT50" s="12" t="e">
        <f>GT47</f>
        <v>#REF!</v>
      </c>
      <c r="GU50" s="8"/>
      <c r="GV50" s="12"/>
      <c r="GW50" s="8"/>
      <c r="GX50" s="12" t="e">
        <f>GX47</f>
        <v>#REF!</v>
      </c>
      <c r="GY50" s="8"/>
      <c r="GZ50" s="12" t="e">
        <f>GZ47</f>
        <v>#REF!</v>
      </c>
      <c r="HA50" s="8"/>
      <c r="HB50" s="12" t="e">
        <f>SUM(GR50:GZ50)</f>
        <v>#REF!</v>
      </c>
      <c r="HE50" s="7" t="s">
        <v>100</v>
      </c>
      <c r="HF50" s="12">
        <f>HF23-HT23</f>
        <v>-18555597.537927501</v>
      </c>
      <c r="HG50" s="13"/>
      <c r="HH50" s="12">
        <f>HH23-HV23</f>
        <v>-5547860.2416999992</v>
      </c>
      <c r="HI50" s="8"/>
      <c r="HJ50" s="12">
        <f>HJ23-HX23</f>
        <v>0</v>
      </c>
      <c r="HK50" s="8"/>
      <c r="HL50" s="12">
        <f>HL23-HZ23</f>
        <v>-1156496.4309775005</v>
      </c>
      <c r="HM50" s="8"/>
      <c r="HN50" s="12">
        <f>HN23-IB23</f>
        <v>220649.50631749968</v>
      </c>
      <c r="HO50" s="8"/>
      <c r="HP50" s="12">
        <f>SUM(HF50:HN50)</f>
        <v>-25039304.704287503</v>
      </c>
      <c r="HS50" s="7" t="s">
        <v>100</v>
      </c>
      <c r="HT50" s="12">
        <f>HT23</f>
        <v>-23861404.499999993</v>
      </c>
      <c r="HU50" s="13"/>
      <c r="HV50" s="12">
        <f>HV23</f>
        <v>-5060807.08</v>
      </c>
      <c r="HW50" s="8"/>
      <c r="HX50" s="12">
        <f>HX23</f>
        <v>0</v>
      </c>
      <c r="HY50" s="8"/>
      <c r="HZ50" s="12">
        <f>HZ23</f>
        <v>-1154127.4405</v>
      </c>
      <c r="IA50" s="8"/>
      <c r="IB50" s="12">
        <f>IB23</f>
        <v>220447.49065000028</v>
      </c>
      <c r="IC50" s="8"/>
      <c r="ID50" s="12">
        <f>SUM(HT50:IB50)</f>
        <v>-29855891.529849987</v>
      </c>
      <c r="IG50" s="7" t="s">
        <v>100</v>
      </c>
      <c r="IH50" s="12">
        <f>IH23-IV23</f>
        <v>-37873433.030000001</v>
      </c>
      <c r="II50" s="13"/>
      <c r="IJ50" s="12">
        <f>IJ23-IX23</f>
        <v>-5257458.1499999948</v>
      </c>
      <c r="IK50" s="8"/>
      <c r="IL50" s="12">
        <f>IL23-IZ23</f>
        <v>0</v>
      </c>
      <c r="IM50" s="8"/>
      <c r="IN50" s="12">
        <f>IN23-JB23</f>
        <v>-1427214.0405000001</v>
      </c>
      <c r="IO50" s="8"/>
      <c r="IP50" s="12">
        <f>IP23-JD23</f>
        <v>222697.51774998487</v>
      </c>
      <c r="IQ50" s="8"/>
      <c r="IR50" s="12">
        <f>SUM(IH50:IP50)</f>
        <v>-44335407.702750005</v>
      </c>
      <c r="IU50" s="7" t="s">
        <v>100</v>
      </c>
      <c r="IV50" s="12">
        <f>IV23-JJ23</f>
        <v>-7266477.5</v>
      </c>
      <c r="IW50" s="13"/>
      <c r="IX50" s="12">
        <f>IX23-JL23</f>
        <v>-4496926.5100000035</v>
      </c>
      <c r="IY50" s="8"/>
      <c r="IZ50" s="12">
        <f>IZ23-JN23</f>
        <v>0</v>
      </c>
      <c r="JA50" s="8"/>
      <c r="JB50" s="12">
        <f>JB23-JP23</f>
        <v>-381737.08050000016</v>
      </c>
      <c r="JC50" s="8"/>
      <c r="JD50" s="12">
        <f>JD23-JR23</f>
        <v>225446.42075003008</v>
      </c>
      <c r="JE50" s="8"/>
      <c r="JF50" s="12">
        <f>SUM(IV50:JD50)</f>
        <v>-11919694.669749975</v>
      </c>
      <c r="JI50" s="7" t="s">
        <v>100</v>
      </c>
      <c r="JJ50" s="12">
        <f>JJ23-JX23</f>
        <v>-15041159.229999997</v>
      </c>
      <c r="JK50" s="13"/>
      <c r="JL50" s="12">
        <f>JL23-JZ23</f>
        <v>-4877745.75</v>
      </c>
      <c r="JM50" s="8"/>
      <c r="JN50" s="12">
        <f>JN23-KB23</f>
        <v>0</v>
      </c>
      <c r="JO50" s="8"/>
      <c r="JP50" s="12">
        <f>JP23-KD23</f>
        <v>-1253441.350499999</v>
      </c>
      <c r="JQ50" s="8"/>
      <c r="JR50" s="12">
        <f>JR23-KF23</f>
        <v>198688.2907500001</v>
      </c>
      <c r="JS50" s="8"/>
      <c r="JT50" s="12">
        <f>SUM(JJ50:JR50)</f>
        <v>-20973658.039749995</v>
      </c>
      <c r="JW50" s="7" t="s">
        <v>100</v>
      </c>
      <c r="JX50" s="12">
        <f>JX23</f>
        <v>-21020477.93</v>
      </c>
      <c r="JY50" s="13"/>
      <c r="JZ50" s="12">
        <f>JZ23</f>
        <v>-4312377.6899999995</v>
      </c>
      <c r="KA50" s="8"/>
      <c r="KB50" s="12">
        <f>KB23</f>
        <v>0</v>
      </c>
      <c r="KC50" s="8"/>
      <c r="KD50" s="12">
        <f>KD23</f>
        <v>-997033.33049999992</v>
      </c>
      <c r="KE50" s="8"/>
      <c r="KF50" s="12">
        <f>KF23</f>
        <v>168781.01074999996</v>
      </c>
      <c r="KG50" s="8"/>
      <c r="KH50" s="12">
        <f>SUM(JX50:KF50)</f>
        <v>-26161107.939749997</v>
      </c>
      <c r="KK50" s="7" t="s">
        <v>100</v>
      </c>
      <c r="KL50" s="12">
        <f>KL23-KZ23</f>
        <v>-16229998.489999995</v>
      </c>
      <c r="KM50" s="13"/>
      <c r="KN50" s="12">
        <f>KN23-LB23</f>
        <v>-4604767.09</v>
      </c>
      <c r="KO50" s="8"/>
      <c r="KP50" s="12">
        <f>KP23-LD23</f>
        <v>0</v>
      </c>
      <c r="KQ50" s="8"/>
      <c r="KR50" s="12">
        <f>KR23-LF23</f>
        <v>-1599966.1304999981</v>
      </c>
      <c r="KS50" s="8"/>
      <c r="KT50" s="12">
        <f>KT23-LH23</f>
        <v>151977.85485</v>
      </c>
      <c r="KU50" s="8"/>
      <c r="KV50" s="12">
        <f>SUM(KL50:KT50)</f>
        <v>-22282753.855649993</v>
      </c>
      <c r="KY50" s="7" t="s">
        <v>100</v>
      </c>
      <c r="KZ50" s="12">
        <f>KZ23-LN23</f>
        <v>-13433240.969999991</v>
      </c>
      <c r="LA50" s="13"/>
      <c r="LB50" s="12">
        <f>LB23-LP23</f>
        <v>-3689372.9599999972</v>
      </c>
      <c r="LC50" s="8"/>
      <c r="LD50" s="12">
        <f>LD23-LR23</f>
        <v>0</v>
      </c>
      <c r="LE50" s="8"/>
      <c r="LF50" s="12">
        <f>LF23-LT23</f>
        <v>-1078108.3305000011</v>
      </c>
      <c r="LG50" s="8"/>
      <c r="LH50" s="12">
        <f>LH23-LV23</f>
        <v>142725.13385000051</v>
      </c>
      <c r="LI50" s="8"/>
      <c r="LJ50" s="12">
        <f>SUM(KZ50:LH50)</f>
        <v>-18057997.126649991</v>
      </c>
      <c r="LM50" s="7" t="s">
        <v>100</v>
      </c>
      <c r="LN50" s="12">
        <f>LN23-MA23</f>
        <v>-24302268.610000007</v>
      </c>
      <c r="LO50" s="13"/>
      <c r="LP50" s="12">
        <f>LP23-MC23</f>
        <v>-5483697.6007400202</v>
      </c>
      <c r="LQ50" s="8"/>
      <c r="LR50" s="12">
        <f>LR23-ME23</f>
        <v>0</v>
      </c>
      <c r="LS50" s="8"/>
      <c r="LT50" s="12">
        <f>LT23-MG23</f>
        <v>-1116051.2504999994</v>
      </c>
      <c r="LU50" s="8"/>
      <c r="LV50" s="12" t="e">
        <f>LV47</f>
        <v>#REF!</v>
      </c>
      <c r="LW50" s="8"/>
      <c r="LX50" s="12" t="e">
        <f>SUM(LN50:LV50)</f>
        <v>#REF!</v>
      </c>
      <c r="LZ50" s="7" t="s">
        <v>100</v>
      </c>
      <c r="MA50" s="12" t="e">
        <f>MA47</f>
        <v>#REF!</v>
      </c>
      <c r="MB50" s="13"/>
      <c r="MC50" s="12" t="e">
        <f>MC47</f>
        <v>#REF!</v>
      </c>
      <c r="MD50" s="8"/>
      <c r="ME50" s="12">
        <f>ME23-MS23</f>
        <v>0</v>
      </c>
      <c r="MF50" s="63"/>
      <c r="MG50" s="12" t="e">
        <f>MG47</f>
        <v>#REF!</v>
      </c>
      <c r="MH50" s="8"/>
      <c r="MI50" s="12" t="e">
        <f>MI47</f>
        <v>#REF!</v>
      </c>
      <c r="MJ50" s="8"/>
      <c r="MK50" s="12" t="e">
        <f>SUM(MA50:MI50)</f>
        <v>#REF!</v>
      </c>
      <c r="ML50" s="8"/>
      <c r="MM50" s="7" t="s">
        <v>100</v>
      </c>
      <c r="MN50" s="12">
        <f>MN23-NB23</f>
        <v>-108696806.59000003</v>
      </c>
      <c r="MO50" s="13"/>
      <c r="MP50" s="12">
        <f>MP23-ND23</f>
        <v>-18570356.539999995</v>
      </c>
      <c r="MQ50" s="8"/>
      <c r="MR50" s="12">
        <f>MR23-NF23</f>
        <v>0</v>
      </c>
      <c r="MS50" s="8"/>
      <c r="MT50" s="12">
        <f>MT23-NH23</f>
        <v>-2689983.1005000016</v>
      </c>
      <c r="MU50" s="8"/>
      <c r="MV50" s="12">
        <f>MV23-NJ23</f>
        <v>41113.250000000298</v>
      </c>
      <c r="MW50" s="8"/>
      <c r="MX50" s="12">
        <f>SUM(MN50:MV50)</f>
        <v>-129916032.98050003</v>
      </c>
      <c r="NA50" s="7" t="s">
        <v>100</v>
      </c>
      <c r="NB50" s="12">
        <f>NB23-NP23</f>
        <v>1771427.2200000249</v>
      </c>
      <c r="NC50" s="13"/>
      <c r="ND50" s="12">
        <f>ND23-NR23</f>
        <v>1830745.8399999929</v>
      </c>
      <c r="NE50" s="8"/>
      <c r="NF50" s="12">
        <f>NF23-NT23</f>
        <v>0</v>
      </c>
      <c r="NG50" s="8"/>
      <c r="NH50" s="12">
        <f>NH23-NV23</f>
        <v>-1445852.1458929172</v>
      </c>
      <c r="NI50" s="8"/>
      <c r="NJ50" s="12">
        <f>NJ23-NX23</f>
        <v>48182.36999999977</v>
      </c>
      <c r="NK50" s="8"/>
      <c r="NL50" s="12">
        <f>SUM(NB50:NJ50)</f>
        <v>2204503.2841071002</v>
      </c>
      <c r="NO50" s="7" t="s">
        <v>100</v>
      </c>
      <c r="NP50" s="12">
        <f>NP23-OC23</f>
        <v>63597704.400000006</v>
      </c>
      <c r="NQ50" s="13"/>
      <c r="NR50" s="12">
        <f>NR23-OE23</f>
        <v>6802745.6900000013</v>
      </c>
      <c r="NS50" s="8"/>
      <c r="NT50" s="12">
        <f>NT23-OG23</f>
        <v>0</v>
      </c>
      <c r="NU50" s="8"/>
      <c r="NV50" s="12">
        <f>NV23-OI23</f>
        <v>-2075922.3205000004</v>
      </c>
      <c r="NW50" s="8"/>
      <c r="NX50" s="12">
        <f>NX23-OK23</f>
        <v>37025.130000000667</v>
      </c>
      <c r="NY50" s="8"/>
      <c r="NZ50" s="12">
        <f>SUM(NP50:NX50)</f>
        <v>68361552.899499997</v>
      </c>
      <c r="OB50" s="7" t="s">
        <v>100</v>
      </c>
      <c r="OC50" s="12" t="e">
        <f>OC47</f>
        <v>#REF!</v>
      </c>
      <c r="OD50" s="13"/>
      <c r="OE50" s="12" t="e">
        <f>OE47</f>
        <v>#REF!</v>
      </c>
      <c r="OF50" s="8"/>
      <c r="OG50" s="12">
        <f>OG23-OT23</f>
        <v>0</v>
      </c>
      <c r="OH50" s="63"/>
      <c r="OI50" s="12" t="e">
        <f>OI47</f>
        <v>#REF!</v>
      </c>
      <c r="OJ50" s="8"/>
      <c r="OK50" s="12" t="e">
        <f>OK47-OK40</f>
        <v>#REF!</v>
      </c>
      <c r="OL50" s="8"/>
      <c r="OM50" s="12" t="e">
        <f>SUM(OC50:OK50)</f>
        <v>#REF!</v>
      </c>
      <c r="OO50" s="7" t="s">
        <v>100</v>
      </c>
      <c r="OP50" s="12" t="e">
        <f>OP47</f>
        <v>#REF!</v>
      </c>
      <c r="OQ50" s="13"/>
      <c r="OR50" s="12" t="e">
        <f>OR47</f>
        <v>#REF!</v>
      </c>
      <c r="OS50" s="8"/>
      <c r="OT50" s="12">
        <v>0</v>
      </c>
      <c r="OU50" s="63"/>
      <c r="OV50" s="12" t="e">
        <f>OV47-OV41</f>
        <v>#REF!</v>
      </c>
      <c r="OW50" s="8"/>
      <c r="OX50" s="12" t="e">
        <f>OX47-OX40</f>
        <v>#REF!</v>
      </c>
      <c r="OY50" s="8"/>
      <c r="OZ50" s="12" t="e">
        <f>SUM(OP50:OX50)</f>
        <v>#REF!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  <c r="TP50" s="4"/>
      <c r="TQ50" s="4"/>
      <c r="TR50" s="4"/>
      <c r="TS50" s="4"/>
      <c r="TT50" s="4"/>
      <c r="TU50" s="4"/>
      <c r="TV50" s="4"/>
      <c r="TW50" s="4"/>
      <c r="TX50" s="4"/>
      <c r="TY50" s="4"/>
      <c r="TZ50" s="4"/>
      <c r="UC50" s="4"/>
      <c r="UD50" s="4"/>
      <c r="UE50" s="4"/>
      <c r="UF50" s="4"/>
      <c r="UG50" s="4"/>
      <c r="UH50" s="4"/>
      <c r="UI50" s="4"/>
      <c r="UJ50" s="4"/>
      <c r="UK50" s="4"/>
      <c r="UL50" s="4"/>
      <c r="UM50" s="4"/>
      <c r="UP50" s="4"/>
      <c r="UQ50" s="4"/>
      <c r="UR50" s="4"/>
      <c r="US50" s="4"/>
      <c r="UT50" s="4"/>
      <c r="UU50" s="4"/>
      <c r="UV50" s="4"/>
      <c r="UW50" s="4"/>
      <c r="UX50" s="4"/>
      <c r="UY50" s="4"/>
      <c r="UZ50" s="4"/>
      <c r="VC50" s="4"/>
      <c r="VD50" s="4"/>
      <c r="VE50" s="4"/>
      <c r="VF50" s="4"/>
      <c r="VG50" s="4"/>
      <c r="VH50" s="4"/>
      <c r="VI50" s="4"/>
      <c r="VJ50" s="4"/>
      <c r="VK50" s="4"/>
      <c r="VL50" s="4"/>
      <c r="VM50" s="4"/>
      <c r="VP50" s="4"/>
      <c r="VQ50" s="4"/>
      <c r="VR50" s="4"/>
      <c r="VS50" s="4"/>
      <c r="VT50" s="4"/>
      <c r="VU50" s="4"/>
      <c r="VV50" s="4"/>
      <c r="VW50" s="4"/>
      <c r="VX50" s="4"/>
      <c r="VY50" s="4"/>
      <c r="VZ50" s="4"/>
      <c r="WC50" s="4"/>
      <c r="WD50" s="4"/>
      <c r="WE50" s="4"/>
      <c r="WF50" s="4"/>
      <c r="WG50" s="4"/>
      <c r="WH50" s="4"/>
      <c r="WI50" s="4"/>
      <c r="WJ50" s="4"/>
      <c r="WK50" s="4"/>
      <c r="WL50" s="4"/>
      <c r="WM50" s="4"/>
      <c r="WP50" s="4"/>
      <c r="WQ50" s="4"/>
      <c r="WR50" s="4"/>
      <c r="WS50" s="4"/>
      <c r="WT50" s="4"/>
      <c r="WU50" s="4"/>
      <c r="WV50" s="4"/>
      <c r="WW50" s="4"/>
      <c r="WX50" s="4"/>
      <c r="WY50" s="4"/>
      <c r="WZ50" s="4"/>
      <c r="XC50" s="4"/>
      <c r="XD50" s="4"/>
      <c r="XE50" s="4"/>
      <c r="XF50" s="4"/>
      <c r="XG50" s="4"/>
      <c r="XH50" s="4"/>
      <c r="XI50" s="4"/>
      <c r="XJ50" s="4"/>
      <c r="XK50" s="4"/>
      <c r="XL50" s="4"/>
      <c r="XM50" s="4"/>
      <c r="XP50" s="4"/>
      <c r="XQ50" s="4"/>
      <c r="XR50" s="4"/>
      <c r="XS50" s="4"/>
      <c r="XT50" s="4"/>
      <c r="XU50" s="4"/>
      <c r="XV50" s="4"/>
      <c r="XW50" s="4"/>
      <c r="XX50" s="4"/>
      <c r="XY50" s="4"/>
      <c r="XZ50" s="4"/>
      <c r="YC50" s="4"/>
      <c r="YD50" s="4"/>
      <c r="YE50" s="4"/>
      <c r="YF50" s="4"/>
      <c r="YG50" s="4"/>
      <c r="YH50" s="4"/>
      <c r="YI50" s="4"/>
      <c r="YJ50" s="4"/>
      <c r="YK50" s="4"/>
      <c r="YL50" s="4"/>
      <c r="YM50" s="4"/>
      <c r="YP50" s="4"/>
      <c r="YQ50" s="4"/>
      <c r="YR50" s="4"/>
      <c r="YS50" s="4"/>
      <c r="YT50" s="4"/>
      <c r="YU50" s="4"/>
      <c r="YV50" s="4"/>
      <c r="YW50" s="4"/>
      <c r="YX50" s="4"/>
      <c r="YY50" s="4"/>
      <c r="YZ50" s="4"/>
    </row>
    <row r="51" spans="1:676">
      <c r="B51" s="4"/>
      <c r="C51" s="4"/>
      <c r="D51" s="4"/>
      <c r="E51" s="4"/>
      <c r="F51" s="65"/>
      <c r="G51" s="4"/>
      <c r="H51" s="4"/>
      <c r="I51" s="4"/>
      <c r="J51" s="4"/>
      <c r="K51" s="4"/>
      <c r="L51" s="4"/>
      <c r="M51" s="4"/>
      <c r="N51" s="4"/>
      <c r="R51" s="4"/>
      <c r="S51" s="4"/>
      <c r="T51" s="4"/>
      <c r="U51" s="4"/>
      <c r="V51" s="65"/>
      <c r="W51" s="65"/>
      <c r="X51" s="65"/>
      <c r="Y51" s="4"/>
      <c r="Z51" s="4"/>
      <c r="AA51" s="4"/>
      <c r="AB51" s="4"/>
      <c r="AC51" s="4"/>
      <c r="AD51" s="4"/>
      <c r="AH51" s="4"/>
      <c r="AI51" s="4"/>
      <c r="AJ51" s="4"/>
      <c r="AK51" s="4"/>
      <c r="AL51" s="65"/>
      <c r="AM51" s="65"/>
      <c r="AN51" s="65"/>
      <c r="AO51" s="4"/>
      <c r="AP51" s="4"/>
      <c r="AQ51" s="4"/>
      <c r="AR51" s="4"/>
      <c r="AS51" s="4"/>
      <c r="AT51" s="4"/>
      <c r="AX51" s="4"/>
      <c r="AY51" s="4"/>
      <c r="AZ51" s="4"/>
      <c r="BA51" s="4"/>
      <c r="BB51" s="65"/>
      <c r="BC51" s="65"/>
      <c r="BD51" s="65"/>
      <c r="BE51" s="4"/>
      <c r="BF51" s="4"/>
      <c r="BG51" s="4"/>
      <c r="BH51" s="4"/>
      <c r="BI51" s="4"/>
      <c r="BJ51" s="4"/>
      <c r="BN51" s="4"/>
      <c r="BO51" s="4"/>
      <c r="BP51" s="4"/>
      <c r="BQ51" s="4"/>
      <c r="BR51" s="65"/>
      <c r="BS51" s="4"/>
      <c r="BT51" s="65"/>
      <c r="BU51" s="4"/>
      <c r="BV51" s="4"/>
      <c r="BW51" s="4"/>
      <c r="BX51" s="4"/>
      <c r="BY51" s="4"/>
      <c r="BZ51" s="4"/>
      <c r="CD51" s="4"/>
      <c r="CE51" s="4"/>
      <c r="CF51" s="4"/>
      <c r="CG51" s="4"/>
      <c r="CH51" s="65"/>
      <c r="CI51" s="65"/>
      <c r="CJ51" s="65"/>
      <c r="CK51" s="4"/>
      <c r="CL51" s="4"/>
      <c r="CM51" s="4"/>
      <c r="CN51" s="4"/>
      <c r="CO51" s="4"/>
      <c r="CP51" s="4"/>
      <c r="CT51" s="4"/>
      <c r="CU51" s="4"/>
      <c r="CV51" s="4"/>
      <c r="CW51" s="4"/>
      <c r="CX51" s="65"/>
      <c r="CY51" s="65"/>
      <c r="CZ51" s="65"/>
      <c r="DA51" s="4"/>
      <c r="DB51" s="4"/>
      <c r="DC51" s="4"/>
      <c r="DD51" s="4"/>
      <c r="DE51" s="4"/>
      <c r="DF51" s="4"/>
      <c r="DJ51" s="4"/>
      <c r="DK51" s="4"/>
      <c r="DL51" s="4"/>
      <c r="DM51" s="4"/>
      <c r="DN51" s="65"/>
      <c r="DO51" s="65"/>
      <c r="DP51" s="65"/>
      <c r="DQ51" s="4"/>
      <c r="DR51" s="4"/>
      <c r="DS51" s="4"/>
      <c r="DT51" s="4"/>
      <c r="DU51" s="4"/>
      <c r="DV51" s="4"/>
      <c r="DZ51" s="4"/>
      <c r="EA51" s="4"/>
      <c r="EB51" s="4"/>
      <c r="EC51" s="4"/>
      <c r="ED51" s="65"/>
      <c r="EE51" s="4"/>
      <c r="EF51" s="4"/>
      <c r="EG51" s="4"/>
      <c r="EH51" s="4"/>
      <c r="EI51" s="4"/>
      <c r="EJ51" s="4"/>
      <c r="EN51" s="4"/>
      <c r="EO51" s="4"/>
      <c r="EP51" s="4"/>
      <c r="EQ51" s="4"/>
      <c r="ER51" s="65"/>
      <c r="ES51" s="4"/>
      <c r="ET51" s="4"/>
      <c r="EU51" s="4"/>
      <c r="EV51" s="4"/>
      <c r="EW51" s="4"/>
      <c r="EX51" s="4"/>
      <c r="FB51" s="4"/>
      <c r="FC51" s="4"/>
      <c r="FD51" s="4"/>
      <c r="FE51" s="4"/>
      <c r="FF51" s="65"/>
      <c r="FG51" s="4"/>
      <c r="FH51" s="4"/>
      <c r="FI51" s="4"/>
      <c r="FJ51" s="4"/>
      <c r="FK51" s="4"/>
      <c r="FL51" s="4"/>
      <c r="FP51" s="4"/>
      <c r="FQ51" s="4"/>
      <c r="FR51" s="4"/>
      <c r="FS51" s="4"/>
      <c r="FT51" s="65"/>
      <c r="FU51" s="4"/>
      <c r="FV51" s="4"/>
      <c r="FW51" s="4"/>
      <c r="FX51" s="4"/>
      <c r="FY51" s="4"/>
      <c r="FZ51" s="4"/>
      <c r="GD51" s="4"/>
      <c r="GE51" s="4"/>
      <c r="GF51" s="4"/>
      <c r="GG51" s="4"/>
      <c r="GH51" s="65"/>
      <c r="GI51" s="4"/>
      <c r="GJ51" s="4"/>
      <c r="GK51" s="4"/>
      <c r="GL51" s="4"/>
      <c r="GM51" s="4"/>
      <c r="GN51" s="4"/>
      <c r="GR51" s="4"/>
      <c r="GS51" s="4"/>
      <c r="GT51" s="4"/>
      <c r="GU51" s="4"/>
      <c r="GV51" s="65"/>
      <c r="GW51" s="4"/>
      <c r="GX51" s="4"/>
      <c r="GY51" s="4"/>
      <c r="GZ51" s="4"/>
      <c r="HA51" s="4"/>
      <c r="HB51" s="4"/>
      <c r="HF51" s="4"/>
      <c r="HG51" s="4"/>
      <c r="HH51" s="4"/>
      <c r="HI51" s="4"/>
      <c r="HJ51" s="65"/>
      <c r="HK51" s="4"/>
      <c r="HL51" s="4"/>
      <c r="HM51" s="4"/>
      <c r="HN51" s="4"/>
      <c r="HO51" s="4"/>
      <c r="HP51" s="4"/>
      <c r="HT51" s="4"/>
      <c r="HU51" s="4"/>
      <c r="HV51" s="4"/>
      <c r="HW51" s="4"/>
      <c r="HX51" s="65"/>
      <c r="HY51" s="4"/>
      <c r="HZ51" s="4"/>
      <c r="IA51" s="4"/>
      <c r="IB51" s="4"/>
      <c r="IC51" s="4"/>
      <c r="ID51" s="4"/>
      <c r="IH51" s="4"/>
      <c r="II51" s="4"/>
      <c r="IJ51" s="4"/>
      <c r="IK51" s="4"/>
      <c r="IL51" s="65"/>
      <c r="IM51" s="4"/>
      <c r="IN51" s="4"/>
      <c r="IO51" s="4"/>
      <c r="IP51" s="4"/>
      <c r="IQ51" s="4"/>
      <c r="IR51" s="4"/>
      <c r="IV51" s="4"/>
      <c r="IW51" s="4"/>
      <c r="IX51" s="4"/>
      <c r="IY51" s="4"/>
      <c r="IZ51" s="65"/>
      <c r="JA51" s="4"/>
      <c r="JB51" s="4"/>
      <c r="JC51" s="4"/>
      <c r="JD51" s="4"/>
      <c r="JE51" s="4"/>
      <c r="JF51" s="4"/>
      <c r="JJ51" s="4"/>
      <c r="JK51" s="4"/>
      <c r="JL51" s="4"/>
      <c r="JM51" s="4"/>
      <c r="JN51" s="65"/>
      <c r="JO51" s="4"/>
      <c r="JP51" s="4"/>
      <c r="JQ51" s="4"/>
      <c r="JR51" s="4"/>
      <c r="JS51" s="4"/>
      <c r="JT51" s="4"/>
      <c r="JX51" s="4"/>
      <c r="JY51" s="4"/>
      <c r="JZ51" s="4"/>
      <c r="KA51" s="4"/>
      <c r="KB51" s="65"/>
      <c r="KC51" s="4"/>
      <c r="KD51" s="4"/>
      <c r="KE51" s="4"/>
      <c r="KF51" s="4"/>
      <c r="KG51" s="4"/>
      <c r="KH51" s="4"/>
      <c r="KL51" s="4"/>
      <c r="KM51" s="4"/>
      <c r="KN51" s="4"/>
      <c r="KO51" s="4"/>
      <c r="KP51" s="65"/>
      <c r="KQ51" s="4"/>
      <c r="KR51" s="4"/>
      <c r="KS51" s="4"/>
      <c r="KT51" s="4"/>
      <c r="KU51" s="4"/>
      <c r="KV51" s="4"/>
      <c r="KZ51" s="4"/>
      <c r="LA51" s="4"/>
      <c r="LB51" s="4"/>
      <c r="LC51" s="4"/>
      <c r="LD51" s="65"/>
      <c r="LE51" s="4"/>
      <c r="LF51" s="4"/>
      <c r="LG51" s="4"/>
      <c r="LH51" s="4"/>
      <c r="LI51" s="4"/>
      <c r="LJ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MA51" s="4"/>
      <c r="MB51" s="4"/>
      <c r="MC51" s="4"/>
      <c r="MD51" s="4"/>
      <c r="ME51" s="4"/>
      <c r="MF51" s="65"/>
      <c r="MG51" s="4"/>
      <c r="MH51" s="4"/>
      <c r="MI51" s="4"/>
      <c r="MJ51" s="4"/>
      <c r="MK51" s="4"/>
      <c r="ML51" s="4"/>
      <c r="MN51" s="4"/>
      <c r="MO51" s="4"/>
      <c r="MP51" s="4"/>
      <c r="MQ51" s="4"/>
      <c r="MR51" s="65"/>
      <c r="MS51" s="4"/>
      <c r="MT51" s="4"/>
      <c r="MU51" s="4"/>
      <c r="MV51" s="4"/>
      <c r="MW51" s="4"/>
      <c r="MX51" s="4"/>
      <c r="NB51" s="4"/>
      <c r="NC51" s="4"/>
      <c r="ND51" s="4"/>
      <c r="NE51" s="4"/>
      <c r="NF51" s="65"/>
      <c r="NG51" s="4"/>
      <c r="NH51" s="4"/>
      <c r="NI51" s="4"/>
      <c r="NJ51" s="4"/>
      <c r="NK51" s="4"/>
      <c r="NL51" s="4"/>
      <c r="NP51" s="4"/>
      <c r="NQ51" s="4"/>
      <c r="NR51" s="4"/>
      <c r="NS51" s="4"/>
      <c r="NT51" s="4"/>
      <c r="NU51" s="4"/>
      <c r="NV51" s="4"/>
      <c r="NW51" s="4"/>
      <c r="NX51" s="4"/>
      <c r="NY51" s="4"/>
      <c r="NZ51" s="4"/>
      <c r="OC51" s="4"/>
      <c r="OD51" s="4"/>
      <c r="OE51" s="4"/>
      <c r="OF51" s="4"/>
      <c r="OG51" s="4"/>
      <c r="OH51" s="65"/>
      <c r="OI51" s="4"/>
      <c r="OJ51" s="4"/>
      <c r="OK51" s="4"/>
      <c r="OL51" s="4"/>
      <c r="OM51" s="4"/>
      <c r="OP51" s="4"/>
      <c r="OQ51" s="4"/>
      <c r="OR51" s="4"/>
      <c r="OS51" s="4"/>
      <c r="OT51" s="4"/>
      <c r="OU51" s="4"/>
      <c r="OV51" s="4"/>
      <c r="OW51" s="4"/>
      <c r="OX51" s="4"/>
      <c r="OY51" s="4"/>
      <c r="OZ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  <c r="TP51" s="4"/>
      <c r="TQ51" s="4"/>
      <c r="TR51" s="4"/>
      <c r="TS51" s="4"/>
      <c r="TT51" s="4"/>
      <c r="TU51" s="4"/>
      <c r="TV51" s="4"/>
      <c r="TW51" s="4"/>
      <c r="TX51" s="4"/>
      <c r="TY51" s="4"/>
      <c r="TZ51" s="4"/>
      <c r="UC51" s="4"/>
      <c r="UD51" s="4"/>
      <c r="UE51" s="4"/>
      <c r="UF51" s="4"/>
      <c r="UG51" s="4"/>
      <c r="UH51" s="4"/>
      <c r="UI51" s="4"/>
      <c r="UJ51" s="4"/>
      <c r="UK51" s="4"/>
      <c r="UL51" s="4"/>
      <c r="UM51" s="4"/>
      <c r="UP51" s="4"/>
      <c r="UQ51" s="4"/>
      <c r="UR51" s="4"/>
      <c r="US51" s="4"/>
      <c r="UT51" s="4"/>
      <c r="UU51" s="4"/>
      <c r="UV51" s="4"/>
      <c r="UW51" s="4"/>
      <c r="UX51" s="4"/>
      <c r="UY51" s="4"/>
      <c r="UZ51" s="4"/>
      <c r="VC51" s="4"/>
      <c r="VD51" s="4"/>
      <c r="VE51" s="4"/>
      <c r="VF51" s="4"/>
      <c r="VG51" s="4"/>
      <c r="VH51" s="4"/>
      <c r="VI51" s="4"/>
      <c r="VJ51" s="4"/>
      <c r="VK51" s="4"/>
      <c r="VL51" s="4"/>
      <c r="VM51" s="4"/>
      <c r="VP51" s="4"/>
      <c r="VQ51" s="4"/>
      <c r="VR51" s="4"/>
      <c r="VS51" s="4"/>
      <c r="VT51" s="4"/>
      <c r="VU51" s="4"/>
      <c r="VV51" s="4"/>
      <c r="VW51" s="4"/>
      <c r="VX51" s="4"/>
      <c r="VY51" s="4"/>
      <c r="VZ51" s="4"/>
      <c r="WC51" s="4"/>
      <c r="WD51" s="4"/>
      <c r="WE51" s="4"/>
      <c r="WF51" s="4"/>
      <c r="WG51" s="4"/>
      <c r="WH51" s="4"/>
      <c r="WI51" s="4"/>
      <c r="WJ51" s="4"/>
      <c r="WK51" s="4"/>
      <c r="WL51" s="4"/>
      <c r="WM51" s="4"/>
      <c r="WP51" s="4"/>
      <c r="WQ51" s="4"/>
      <c r="WR51" s="4"/>
      <c r="WS51" s="4"/>
      <c r="WT51" s="4"/>
      <c r="WU51" s="4"/>
      <c r="WV51" s="4"/>
      <c r="WW51" s="4"/>
      <c r="WX51" s="4"/>
      <c r="WY51" s="4"/>
      <c r="WZ51" s="4"/>
      <c r="XC51" s="4"/>
      <c r="XD51" s="4"/>
      <c r="XE51" s="4"/>
      <c r="XF51" s="4"/>
      <c r="XG51" s="4"/>
      <c r="XH51" s="4"/>
      <c r="XI51" s="4"/>
      <c r="XJ51" s="4"/>
      <c r="XK51" s="4"/>
      <c r="XL51" s="4"/>
      <c r="XM51" s="4"/>
      <c r="XP51" s="4"/>
      <c r="XQ51" s="4"/>
      <c r="XR51" s="4"/>
      <c r="XS51" s="4"/>
      <c r="XT51" s="4"/>
      <c r="XU51" s="4"/>
      <c r="XV51" s="4"/>
      <c r="XW51" s="4"/>
      <c r="XX51" s="4"/>
      <c r="XY51" s="4"/>
      <c r="XZ51" s="4"/>
      <c r="YC51" s="4"/>
      <c r="YD51" s="4"/>
      <c r="YE51" s="4"/>
      <c r="YF51" s="4"/>
      <c r="YG51" s="4"/>
      <c r="YH51" s="4"/>
      <c r="YI51" s="4"/>
      <c r="YJ51" s="4"/>
      <c r="YK51" s="4"/>
      <c r="YL51" s="4"/>
      <c r="YM51" s="4"/>
      <c r="YP51" s="4"/>
      <c r="YQ51" s="4"/>
      <c r="YR51" s="4"/>
      <c r="YS51" s="4"/>
      <c r="YT51" s="4"/>
      <c r="YU51" s="4"/>
      <c r="YV51" s="4"/>
      <c r="YW51" s="4"/>
      <c r="YX51" s="4"/>
      <c r="YY51" s="4"/>
      <c r="YZ51" s="4"/>
    </row>
    <row r="52" spans="1:676">
      <c r="B52" s="4"/>
      <c r="C52" s="4"/>
      <c r="D52" s="4"/>
      <c r="E52" s="4"/>
      <c r="F52" s="65"/>
      <c r="G52" s="4"/>
      <c r="H52" s="4"/>
      <c r="I52" s="4"/>
      <c r="J52" s="4"/>
      <c r="K52" s="4"/>
      <c r="L52" s="4"/>
      <c r="M52" s="4"/>
      <c r="N52" s="4"/>
      <c r="R52" s="4"/>
      <c r="S52" s="4"/>
      <c r="T52" s="4"/>
      <c r="U52" s="4"/>
      <c r="V52" s="65"/>
      <c r="W52" s="65"/>
      <c r="X52" s="65"/>
      <c r="Y52" s="4"/>
      <c r="Z52" s="4"/>
      <c r="AA52" s="4"/>
      <c r="AB52" s="4"/>
      <c r="AC52" s="4"/>
      <c r="AD52" s="4"/>
      <c r="AH52" s="4"/>
      <c r="AI52" s="4"/>
      <c r="AJ52" s="4"/>
      <c r="AK52" s="4"/>
      <c r="AL52" s="65"/>
      <c r="AM52" s="65"/>
      <c r="AN52" s="65"/>
      <c r="AO52" s="4"/>
      <c r="AP52" s="4"/>
      <c r="AQ52" s="4"/>
      <c r="AR52" s="4"/>
      <c r="AS52" s="4"/>
      <c r="AT52" s="4"/>
      <c r="AX52" s="4"/>
      <c r="AY52" s="4"/>
      <c r="AZ52" s="4"/>
      <c r="BA52" s="4"/>
      <c r="BB52" s="65"/>
      <c r="BC52" s="65"/>
      <c r="BD52" s="65"/>
      <c r="BE52" s="4"/>
      <c r="BF52" s="4"/>
      <c r="BG52" s="4"/>
      <c r="BH52" s="4"/>
      <c r="BI52" s="4"/>
      <c r="BJ52" s="4"/>
      <c r="BN52" s="4"/>
      <c r="BO52" s="4"/>
      <c r="BP52" s="4"/>
      <c r="BQ52" s="4"/>
      <c r="BR52" s="65"/>
      <c r="BS52" s="4"/>
      <c r="BT52" s="65"/>
      <c r="BU52" s="4"/>
      <c r="BV52" s="4"/>
      <c r="BW52" s="4"/>
      <c r="BX52" s="4"/>
      <c r="BY52" s="4"/>
      <c r="BZ52" s="4"/>
      <c r="CD52" s="4"/>
      <c r="CE52" s="4"/>
      <c r="CF52" s="4"/>
      <c r="CG52" s="4"/>
      <c r="CH52" s="65"/>
      <c r="CI52" s="65"/>
      <c r="CJ52" s="65"/>
      <c r="CK52" s="4"/>
      <c r="CL52" s="4"/>
      <c r="CM52" s="4"/>
      <c r="CN52" s="4"/>
      <c r="CO52" s="4"/>
      <c r="CP52" s="4"/>
      <c r="CT52" s="4"/>
      <c r="CU52" s="4"/>
      <c r="CV52" s="4"/>
      <c r="CW52" s="4"/>
      <c r="CX52" s="65"/>
      <c r="CY52" s="65"/>
      <c r="CZ52" s="65"/>
      <c r="DA52" s="4"/>
      <c r="DB52" s="4"/>
      <c r="DC52" s="4"/>
      <c r="DD52" s="4"/>
      <c r="DE52" s="4"/>
      <c r="DF52" s="4"/>
      <c r="DJ52" s="4"/>
      <c r="DK52" s="4"/>
      <c r="DL52" s="4"/>
      <c r="DM52" s="4"/>
      <c r="DN52" s="65"/>
      <c r="DO52" s="65"/>
      <c r="DP52" s="65"/>
      <c r="DQ52" s="4"/>
      <c r="DR52" s="4"/>
      <c r="DS52" s="4"/>
      <c r="DT52" s="4"/>
      <c r="DU52" s="4"/>
      <c r="DV52" s="4"/>
      <c r="DZ52" s="4"/>
      <c r="EA52" s="4"/>
      <c r="EB52" s="4"/>
      <c r="EC52" s="4"/>
      <c r="ED52" s="65"/>
      <c r="EE52" s="4"/>
      <c r="EF52" s="4"/>
      <c r="EG52" s="4"/>
      <c r="EH52" s="4"/>
      <c r="EI52" s="4"/>
      <c r="EJ52" s="4"/>
      <c r="EN52" s="4"/>
      <c r="EO52" s="4"/>
      <c r="EP52" s="4"/>
      <c r="EQ52" s="4"/>
      <c r="ER52" s="65"/>
      <c r="ES52" s="4"/>
      <c r="ET52" s="4"/>
      <c r="EU52" s="4"/>
      <c r="EV52" s="4"/>
      <c r="EW52" s="4"/>
      <c r="EX52" s="4"/>
      <c r="FB52" s="4"/>
      <c r="FC52" s="4"/>
      <c r="FD52" s="4"/>
      <c r="FE52" s="4"/>
      <c r="FF52" s="65"/>
      <c r="FG52" s="4"/>
      <c r="FH52" s="4"/>
      <c r="FI52" s="4"/>
      <c r="FJ52" s="4"/>
      <c r="FK52" s="4"/>
      <c r="FL52" s="4"/>
      <c r="FP52" s="4"/>
      <c r="FQ52" s="4"/>
      <c r="FR52" s="4"/>
      <c r="FS52" s="4"/>
      <c r="FT52" s="65"/>
      <c r="FU52" s="4"/>
      <c r="FV52" s="4"/>
      <c r="FW52" s="4"/>
      <c r="FX52" s="4"/>
      <c r="FY52" s="4"/>
      <c r="FZ52" s="4"/>
      <c r="GD52" s="4"/>
      <c r="GE52" s="4"/>
      <c r="GF52" s="4"/>
      <c r="GG52" s="4"/>
      <c r="GH52" s="65"/>
      <c r="GI52" s="4"/>
      <c r="GJ52" s="4"/>
      <c r="GK52" s="4"/>
      <c r="GL52" s="4"/>
      <c r="GM52" s="4"/>
      <c r="GN52" s="4"/>
      <c r="GR52" s="4"/>
      <c r="GS52" s="4"/>
      <c r="GT52" s="4"/>
      <c r="GU52" s="4"/>
      <c r="GV52" s="65"/>
      <c r="GW52" s="4"/>
      <c r="GX52" s="4"/>
      <c r="GY52" s="4"/>
      <c r="GZ52" s="4"/>
      <c r="HA52" s="4"/>
      <c r="HB52" s="4"/>
      <c r="HF52" s="4"/>
      <c r="HG52" s="4"/>
      <c r="HH52" s="4"/>
      <c r="HI52" s="4"/>
      <c r="HJ52" s="65"/>
      <c r="HK52" s="4"/>
      <c r="HL52" s="4"/>
      <c r="HM52" s="4"/>
      <c r="HN52" s="4"/>
      <c r="HO52" s="4"/>
      <c r="HP52" s="4"/>
      <c r="HT52" s="4"/>
      <c r="HU52" s="4"/>
      <c r="HV52" s="4"/>
      <c r="HW52" s="4"/>
      <c r="HX52" s="65"/>
      <c r="HY52" s="4"/>
      <c r="HZ52" s="4"/>
      <c r="IA52" s="4"/>
      <c r="IB52" s="4"/>
      <c r="IC52" s="4"/>
      <c r="ID52" s="4"/>
      <c r="IH52" s="4"/>
      <c r="II52" s="4"/>
      <c r="IJ52" s="4"/>
      <c r="IK52" s="4"/>
      <c r="IL52" s="65"/>
      <c r="IM52" s="4"/>
      <c r="IN52" s="4"/>
      <c r="IO52" s="4"/>
      <c r="IP52" s="4"/>
      <c r="IQ52" s="4"/>
      <c r="IR52" s="4"/>
      <c r="IV52" s="4"/>
      <c r="IW52" s="4"/>
      <c r="IX52" s="4"/>
      <c r="IY52" s="4"/>
      <c r="IZ52" s="65"/>
      <c r="JA52" s="4"/>
      <c r="JB52" s="4"/>
      <c r="JC52" s="4"/>
      <c r="JD52" s="4"/>
      <c r="JE52" s="4"/>
      <c r="JF52" s="4"/>
      <c r="JJ52" s="4"/>
      <c r="JK52" s="4"/>
      <c r="JL52" s="4"/>
      <c r="JM52" s="4"/>
      <c r="JN52" s="65"/>
      <c r="JO52" s="4"/>
      <c r="JP52" s="4"/>
      <c r="JQ52" s="4"/>
      <c r="JR52" s="4"/>
      <c r="JS52" s="4"/>
      <c r="JT52" s="4"/>
      <c r="JX52" s="4"/>
      <c r="JY52" s="4"/>
      <c r="JZ52" s="4"/>
      <c r="KA52" s="4"/>
      <c r="KB52" s="65"/>
      <c r="KC52" s="4"/>
      <c r="KD52" s="4"/>
      <c r="KE52" s="4"/>
      <c r="KF52" s="4"/>
      <c r="KG52" s="4"/>
      <c r="KH52" s="4"/>
      <c r="KL52" s="4"/>
      <c r="KM52" s="4"/>
      <c r="KN52" s="4"/>
      <c r="KO52" s="4"/>
      <c r="KP52" s="65"/>
      <c r="KQ52" s="4"/>
      <c r="KR52" s="4"/>
      <c r="KS52" s="4"/>
      <c r="KT52" s="4"/>
      <c r="KU52" s="4"/>
      <c r="KV52" s="4"/>
      <c r="KZ52" s="4"/>
      <c r="LA52" s="4"/>
      <c r="LB52" s="4"/>
      <c r="LC52" s="4"/>
      <c r="LD52" s="65"/>
      <c r="LE52" s="4"/>
      <c r="LF52" s="4"/>
      <c r="LG52" s="4"/>
      <c r="LH52" s="4"/>
      <c r="LI52" s="4"/>
      <c r="LJ52" s="4"/>
      <c r="LN52" s="4"/>
      <c r="LO52" s="4"/>
      <c r="LP52" s="4"/>
      <c r="LQ52" s="4"/>
      <c r="LR52" s="4"/>
      <c r="LS52" s="4"/>
      <c r="LT52" s="4"/>
      <c r="LU52" s="4"/>
      <c r="LV52" s="4"/>
      <c r="LW52" s="4"/>
      <c r="LX52" s="4"/>
      <c r="MA52" s="4"/>
      <c r="MB52" s="4"/>
      <c r="MC52" s="4"/>
      <c r="MD52" s="4"/>
      <c r="ME52" s="4"/>
      <c r="MF52" s="4"/>
      <c r="MG52" s="4"/>
      <c r="MH52" s="4"/>
      <c r="MI52" s="4"/>
      <c r="MJ52" s="4"/>
      <c r="MK52" s="4"/>
      <c r="ML52" s="4"/>
      <c r="MN52" s="4"/>
      <c r="MO52" s="4"/>
      <c r="MP52" s="4"/>
      <c r="MQ52" s="4"/>
      <c r="MR52" s="65"/>
      <c r="MS52" s="4"/>
      <c r="MT52" s="4"/>
      <c r="MU52" s="4"/>
      <c r="MV52" s="4"/>
      <c r="MW52" s="4"/>
      <c r="MX52" s="4"/>
      <c r="NB52" s="4"/>
      <c r="NC52" s="4"/>
      <c r="ND52" s="4"/>
      <c r="NE52" s="4"/>
      <c r="NF52" s="65"/>
      <c r="NG52" s="4"/>
      <c r="NH52" s="4"/>
      <c r="NI52" s="4"/>
      <c r="NJ52" s="4"/>
      <c r="NK52" s="4"/>
      <c r="NL52" s="4"/>
      <c r="NP52" s="4"/>
      <c r="NQ52" s="4"/>
      <c r="NR52" s="4"/>
      <c r="NS52" s="4"/>
      <c r="NT52" s="4"/>
      <c r="NU52" s="4"/>
      <c r="NV52" s="4"/>
      <c r="NW52" s="4"/>
      <c r="NX52" s="4"/>
      <c r="NY52" s="4"/>
      <c r="NZ52" s="4"/>
      <c r="OC52" s="4"/>
      <c r="OD52" s="4"/>
      <c r="OE52" s="4"/>
      <c r="OF52" s="4"/>
      <c r="OG52" s="4"/>
      <c r="OH52" s="4"/>
      <c r="OI52" s="4"/>
      <c r="OJ52" s="4"/>
      <c r="OK52" s="4"/>
      <c r="OL52" s="4"/>
      <c r="OM52" s="4"/>
      <c r="OP52" s="4"/>
      <c r="OQ52" s="4"/>
      <c r="OR52" s="4"/>
      <c r="OS52" s="4"/>
      <c r="OT52" s="4"/>
      <c r="OU52" s="4"/>
      <c r="OV52" s="4"/>
      <c r="OW52" s="4"/>
      <c r="OX52" s="4"/>
      <c r="OY52" s="4"/>
      <c r="OZ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C52" s="4"/>
      <c r="TD52" s="4"/>
      <c r="TE52" s="4"/>
      <c r="TF52" s="4"/>
      <c r="TG52" s="4"/>
      <c r="TH52" s="4"/>
      <c r="TI52" s="4"/>
      <c r="TJ52" s="4"/>
      <c r="TK52" s="4"/>
      <c r="TL52" s="4"/>
      <c r="TM52" s="4"/>
      <c r="TP52" s="4"/>
      <c r="TQ52" s="4"/>
      <c r="TR52" s="4"/>
      <c r="TS52" s="4"/>
      <c r="TT52" s="4"/>
      <c r="TU52" s="4"/>
      <c r="TV52" s="4"/>
      <c r="TW52" s="4"/>
      <c r="TX52" s="4"/>
      <c r="TY52" s="4"/>
      <c r="TZ52" s="4"/>
      <c r="UC52" s="4"/>
      <c r="UD52" s="4"/>
      <c r="UE52" s="4"/>
      <c r="UF52" s="4"/>
      <c r="UG52" s="4"/>
      <c r="UH52" s="4"/>
      <c r="UI52" s="4"/>
      <c r="UJ52" s="4"/>
      <c r="UK52" s="4"/>
      <c r="UL52" s="4"/>
      <c r="UM52" s="4"/>
      <c r="UP52" s="4"/>
      <c r="UQ52" s="4"/>
      <c r="UR52" s="4"/>
      <c r="US52" s="4"/>
      <c r="UT52" s="4"/>
      <c r="UU52" s="4"/>
      <c r="UV52" s="4"/>
      <c r="UW52" s="4"/>
      <c r="UX52" s="4"/>
      <c r="UY52" s="4"/>
      <c r="UZ52" s="4"/>
      <c r="VC52" s="4"/>
      <c r="VD52" s="4"/>
      <c r="VE52" s="4"/>
      <c r="VF52" s="4"/>
      <c r="VG52" s="4"/>
      <c r="VH52" s="4"/>
      <c r="VI52" s="4"/>
      <c r="VJ52" s="4"/>
      <c r="VK52" s="4"/>
      <c r="VL52" s="4"/>
      <c r="VM52" s="4"/>
      <c r="VP52" s="4"/>
      <c r="VQ52" s="4"/>
      <c r="VR52" s="4"/>
      <c r="VS52" s="4"/>
      <c r="VT52" s="4"/>
      <c r="VU52" s="4"/>
      <c r="VV52" s="4"/>
      <c r="VW52" s="4"/>
      <c r="VX52" s="4"/>
      <c r="VY52" s="4"/>
      <c r="VZ52" s="4"/>
      <c r="WC52" s="4"/>
      <c r="WD52" s="4"/>
      <c r="WE52" s="4"/>
      <c r="WF52" s="4"/>
      <c r="WG52" s="4"/>
      <c r="WH52" s="4"/>
      <c r="WI52" s="4"/>
      <c r="WJ52" s="4"/>
      <c r="WK52" s="4"/>
      <c r="WL52" s="4"/>
      <c r="WM52" s="4"/>
      <c r="WP52" s="4"/>
      <c r="WQ52" s="4"/>
      <c r="WR52" s="4"/>
      <c r="WS52" s="4"/>
      <c r="WT52" s="4"/>
      <c r="WU52" s="4"/>
      <c r="WV52" s="4"/>
      <c r="WW52" s="4"/>
      <c r="WX52" s="4"/>
      <c r="WY52" s="4"/>
      <c r="WZ52" s="4"/>
      <c r="XC52" s="4"/>
      <c r="XD52" s="4"/>
      <c r="XE52" s="4"/>
      <c r="XF52" s="4"/>
      <c r="XG52" s="4"/>
      <c r="XH52" s="4"/>
      <c r="XI52" s="4"/>
      <c r="XJ52" s="4"/>
      <c r="XK52" s="4"/>
      <c r="XL52" s="4"/>
      <c r="XM52" s="4"/>
      <c r="XP52" s="4"/>
      <c r="XQ52" s="4"/>
      <c r="XR52" s="4"/>
      <c r="XS52" s="4"/>
      <c r="XT52" s="4"/>
      <c r="XU52" s="4"/>
      <c r="XV52" s="4"/>
      <c r="XW52" s="4"/>
      <c r="XX52" s="4"/>
      <c r="XY52" s="4"/>
      <c r="XZ52" s="4"/>
      <c r="YC52" s="4"/>
      <c r="YD52" s="4"/>
      <c r="YE52" s="4"/>
      <c r="YF52" s="4"/>
      <c r="YG52" s="4"/>
      <c r="YH52" s="4"/>
      <c r="YI52" s="4"/>
      <c r="YJ52" s="4"/>
      <c r="YK52" s="4"/>
      <c r="YL52" s="4"/>
      <c r="YM52" s="4"/>
      <c r="YP52" s="4"/>
      <c r="YQ52" s="4"/>
      <c r="YR52" s="4"/>
      <c r="YS52" s="4"/>
      <c r="YT52" s="4"/>
      <c r="YU52" s="4"/>
      <c r="YV52" s="4"/>
      <c r="YW52" s="4"/>
      <c r="YX52" s="4"/>
      <c r="YY52" s="4"/>
      <c r="YZ52" s="4"/>
    </row>
    <row r="53" spans="1:676">
      <c r="B53" s="4"/>
      <c r="C53" s="4"/>
      <c r="D53" s="4"/>
      <c r="E53" s="4"/>
      <c r="F53" s="65"/>
      <c r="G53" s="4"/>
      <c r="H53" s="4"/>
      <c r="I53" s="4"/>
      <c r="J53" s="4"/>
      <c r="K53" s="4"/>
      <c r="L53" s="4"/>
      <c r="M53" s="4"/>
      <c r="N53" s="4"/>
      <c r="R53" s="4"/>
      <c r="S53" s="4"/>
      <c r="T53" s="4"/>
      <c r="U53" s="4"/>
      <c r="V53" s="65"/>
      <c r="W53" s="65"/>
      <c r="X53" s="65"/>
      <c r="Y53" s="4"/>
      <c r="Z53" s="4"/>
      <c r="AA53" s="4"/>
      <c r="AB53" s="4"/>
      <c r="AC53" s="4"/>
      <c r="AD53" s="4"/>
      <c r="AH53" s="4"/>
      <c r="AI53" s="4"/>
      <c r="AJ53" s="4"/>
      <c r="AK53" s="4"/>
      <c r="AL53" s="65"/>
      <c r="AM53" s="65"/>
      <c r="AN53" s="65"/>
      <c r="AO53" s="4"/>
      <c r="AP53" s="4"/>
      <c r="AQ53" s="4"/>
      <c r="AR53" s="4"/>
      <c r="AS53" s="4"/>
      <c r="AT53" s="4"/>
      <c r="AX53" s="4"/>
      <c r="AY53" s="4"/>
      <c r="AZ53" s="4"/>
      <c r="BA53" s="4"/>
      <c r="BB53" s="65"/>
      <c r="BC53" s="65"/>
      <c r="BD53" s="65"/>
      <c r="BE53" s="4"/>
      <c r="BF53" s="4"/>
      <c r="BG53" s="4"/>
      <c r="BH53" s="4"/>
      <c r="BI53" s="4"/>
      <c r="BJ53" s="4"/>
      <c r="BN53" s="4"/>
      <c r="BO53" s="4"/>
      <c r="BP53" s="4"/>
      <c r="BQ53" s="4"/>
      <c r="BR53" s="65"/>
      <c r="BS53" s="4"/>
      <c r="BT53" s="65"/>
      <c r="BU53" s="4"/>
      <c r="BV53" s="4"/>
      <c r="BW53" s="4"/>
      <c r="BX53" s="4"/>
      <c r="BY53" s="4"/>
      <c r="BZ53" s="4"/>
      <c r="CD53" s="4"/>
      <c r="CE53" s="4"/>
      <c r="CF53" s="4"/>
      <c r="CG53" s="4"/>
      <c r="CH53" s="65"/>
      <c r="CI53" s="65"/>
      <c r="CJ53" s="65"/>
      <c r="CK53" s="4"/>
      <c r="CL53" s="4"/>
      <c r="CM53" s="4"/>
      <c r="CN53" s="4"/>
      <c r="CO53" s="4"/>
      <c r="CP53" s="4"/>
      <c r="CT53" s="4"/>
      <c r="CU53" s="4"/>
      <c r="CV53" s="4"/>
      <c r="CW53" s="4"/>
      <c r="CX53" s="65"/>
      <c r="CY53" s="65"/>
      <c r="CZ53" s="65"/>
      <c r="DA53" s="4"/>
      <c r="DB53" s="4"/>
      <c r="DC53" s="4"/>
      <c r="DD53" s="4"/>
      <c r="DE53" s="4"/>
      <c r="DF53" s="4"/>
      <c r="DJ53" s="4"/>
      <c r="DK53" s="4"/>
      <c r="DL53" s="4"/>
      <c r="DM53" s="4"/>
      <c r="DN53" s="65"/>
      <c r="DO53" s="65"/>
      <c r="DP53" s="65"/>
      <c r="DQ53" s="4"/>
      <c r="DR53" s="4"/>
      <c r="DS53" s="4"/>
      <c r="DT53" s="4"/>
      <c r="DU53" s="4"/>
      <c r="DV53" s="4"/>
      <c r="DZ53" s="4"/>
      <c r="EA53" s="4"/>
      <c r="EB53" s="4"/>
      <c r="EC53" s="4"/>
      <c r="ED53" s="65"/>
      <c r="EE53" s="4"/>
      <c r="EF53" s="4"/>
      <c r="EG53" s="4"/>
      <c r="EH53" s="4"/>
      <c r="EI53" s="4"/>
      <c r="EJ53" s="4"/>
      <c r="EN53" s="4"/>
      <c r="EO53" s="4"/>
      <c r="EP53" s="4"/>
      <c r="EQ53" s="4"/>
      <c r="ER53" s="65"/>
      <c r="ES53" s="4"/>
      <c r="ET53" s="4"/>
      <c r="EU53" s="4"/>
      <c r="EV53" s="4"/>
      <c r="EW53" s="4"/>
      <c r="EX53" s="4"/>
      <c r="FB53" s="4"/>
      <c r="FC53" s="4"/>
      <c r="FD53" s="4"/>
      <c r="FE53" s="4"/>
      <c r="FF53" s="65"/>
      <c r="FG53" s="4"/>
      <c r="FH53" s="4"/>
      <c r="FI53" s="4"/>
      <c r="FJ53" s="4"/>
      <c r="FK53" s="4"/>
      <c r="FL53" s="4"/>
      <c r="FP53" s="4"/>
      <c r="FQ53" s="4"/>
      <c r="FR53" s="4"/>
      <c r="FS53" s="4"/>
      <c r="FT53" s="65"/>
      <c r="FU53" s="4"/>
      <c r="FV53" s="4"/>
      <c r="FW53" s="4"/>
      <c r="FX53" s="4"/>
      <c r="FY53" s="4"/>
      <c r="FZ53" s="4"/>
      <c r="GD53" s="4"/>
      <c r="GE53" s="4"/>
      <c r="GF53" s="4"/>
      <c r="GG53" s="4"/>
      <c r="GH53" s="65"/>
      <c r="GI53" s="4"/>
      <c r="GJ53" s="4"/>
      <c r="GK53" s="4"/>
      <c r="GL53" s="4"/>
      <c r="GM53" s="4"/>
      <c r="GN53" s="4"/>
      <c r="GR53" s="4"/>
      <c r="GS53" s="4"/>
      <c r="GT53" s="4"/>
      <c r="GU53" s="4"/>
      <c r="GV53" s="65"/>
      <c r="GW53" s="4"/>
      <c r="GX53" s="4"/>
      <c r="GY53" s="4"/>
      <c r="GZ53" s="4"/>
      <c r="HA53" s="4"/>
      <c r="HB53" s="4"/>
      <c r="HF53" s="4"/>
      <c r="HG53" s="4"/>
      <c r="HH53" s="4"/>
      <c r="HI53" s="4"/>
      <c r="HJ53" s="65"/>
      <c r="HK53" s="4"/>
      <c r="HL53" s="4"/>
      <c r="HM53" s="4"/>
      <c r="HN53" s="4"/>
      <c r="HO53" s="4"/>
      <c r="HP53" s="4"/>
      <c r="HT53" s="4"/>
      <c r="HU53" s="4"/>
      <c r="HV53" s="4"/>
      <c r="HW53" s="4"/>
      <c r="HX53" s="65"/>
      <c r="HY53" s="4"/>
      <c r="HZ53" s="4"/>
      <c r="IA53" s="4"/>
      <c r="IB53" s="4"/>
      <c r="IC53" s="4"/>
      <c r="ID53" s="4"/>
      <c r="IH53" s="4"/>
      <c r="II53" s="4"/>
      <c r="IJ53" s="4"/>
      <c r="IK53" s="4"/>
      <c r="IL53" s="65"/>
      <c r="IM53" s="4"/>
      <c r="IN53" s="4"/>
      <c r="IO53" s="4"/>
      <c r="IP53" s="4"/>
      <c r="IQ53" s="4"/>
      <c r="IR53" s="4"/>
      <c r="IV53" s="4"/>
      <c r="IW53" s="4"/>
      <c r="IX53" s="4"/>
      <c r="IY53" s="4"/>
      <c r="IZ53" s="65"/>
      <c r="JA53" s="4"/>
      <c r="JB53" s="4"/>
      <c r="JC53" s="4"/>
      <c r="JD53" s="4"/>
      <c r="JE53" s="4"/>
      <c r="JF53" s="4"/>
      <c r="JJ53" s="4"/>
      <c r="JK53" s="4"/>
      <c r="JL53" s="4"/>
      <c r="JM53" s="4"/>
      <c r="JN53" s="65"/>
      <c r="JO53" s="4"/>
      <c r="JP53" s="4"/>
      <c r="JQ53" s="4"/>
      <c r="JR53" s="4"/>
      <c r="JS53" s="4"/>
      <c r="JT53" s="4"/>
      <c r="JX53" s="4"/>
      <c r="JY53" s="4"/>
      <c r="JZ53" s="4"/>
      <c r="KA53" s="4"/>
      <c r="KB53" s="65"/>
      <c r="KC53" s="4"/>
      <c r="KD53" s="4"/>
      <c r="KE53" s="4"/>
      <c r="KF53" s="4"/>
      <c r="KG53" s="4"/>
      <c r="KH53" s="4"/>
      <c r="KL53" s="4"/>
      <c r="KM53" s="4"/>
      <c r="KN53" s="4"/>
      <c r="KO53" s="4"/>
      <c r="KP53" s="65"/>
      <c r="KQ53" s="4"/>
      <c r="KR53" s="4"/>
      <c r="KS53" s="4"/>
      <c r="KT53" s="4"/>
      <c r="KU53" s="4"/>
      <c r="KV53" s="4"/>
      <c r="KZ53" s="4"/>
      <c r="LA53" s="4"/>
      <c r="LB53" s="4"/>
      <c r="LC53" s="4"/>
      <c r="LD53" s="65"/>
      <c r="LE53" s="4"/>
      <c r="LF53" s="4"/>
      <c r="LG53" s="4"/>
      <c r="LH53" s="4"/>
      <c r="LI53" s="4"/>
      <c r="LJ53" s="4"/>
      <c r="LN53" s="4"/>
      <c r="LO53" s="4"/>
      <c r="LP53" s="4"/>
      <c r="LQ53" s="4"/>
      <c r="LR53" s="4"/>
      <c r="LS53" s="4"/>
      <c r="LT53" s="4"/>
      <c r="LU53" s="4"/>
      <c r="LV53" s="4"/>
      <c r="LW53" s="4"/>
      <c r="LX53" s="4"/>
      <c r="MA53" s="4"/>
      <c r="MB53" s="4"/>
      <c r="MC53" s="4"/>
      <c r="MD53" s="4"/>
      <c r="ME53" s="4"/>
      <c r="MF53" s="4"/>
      <c r="MG53" s="4"/>
      <c r="MH53" s="4"/>
      <c r="MI53" s="4"/>
      <c r="MJ53" s="4"/>
      <c r="MK53" s="4"/>
      <c r="ML53" s="4"/>
      <c r="MN53" s="4"/>
      <c r="MO53" s="4"/>
      <c r="MP53" s="4"/>
      <c r="MQ53" s="4"/>
      <c r="MR53" s="65"/>
      <c r="MS53" s="4"/>
      <c r="MT53" s="4"/>
      <c r="MU53" s="4"/>
      <c r="MV53" s="4"/>
      <c r="MW53" s="4"/>
      <c r="MX53" s="4"/>
      <c r="NB53" s="4"/>
      <c r="NC53" s="4"/>
      <c r="ND53" s="4"/>
      <c r="NE53" s="4"/>
      <c r="NF53" s="65"/>
      <c r="NG53" s="4"/>
      <c r="NH53" s="4"/>
      <c r="NI53" s="4"/>
      <c r="NJ53" s="4"/>
      <c r="NK53" s="4"/>
      <c r="NL53" s="4"/>
      <c r="NP53" s="4"/>
      <c r="NQ53" s="4"/>
      <c r="NR53" s="4"/>
      <c r="NS53" s="4"/>
      <c r="NT53" s="4"/>
      <c r="NU53" s="4"/>
      <c r="NV53" s="4"/>
      <c r="NW53" s="4"/>
      <c r="NX53" s="4"/>
      <c r="NY53" s="4"/>
      <c r="NZ53" s="4"/>
      <c r="OC53" s="4"/>
      <c r="OD53" s="4"/>
      <c r="OE53" s="4"/>
      <c r="OF53" s="4"/>
      <c r="OG53" s="4"/>
      <c r="OH53" s="4"/>
      <c r="OI53" s="4"/>
      <c r="OJ53" s="4"/>
      <c r="OK53" s="4"/>
      <c r="OL53" s="4"/>
      <c r="OM53" s="4"/>
      <c r="OP53" s="4"/>
      <c r="OQ53" s="4"/>
      <c r="OR53" s="4" t="e">
        <f>SUM(OR31:OR32,PE31:PE32,PR31:PR334)</f>
        <v>#REF!</v>
      </c>
      <c r="OS53" s="4"/>
      <c r="OT53" s="4"/>
      <c r="OU53" s="4"/>
      <c r="OV53" s="4"/>
      <c r="OW53" s="4"/>
      <c r="OX53" s="4"/>
      <c r="OY53" s="4"/>
      <c r="OZ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C53" s="4"/>
      <c r="TD53" s="4"/>
      <c r="TE53" s="4"/>
      <c r="TF53" s="4"/>
      <c r="TG53" s="4"/>
      <c r="TH53" s="4"/>
      <c r="TI53" s="4"/>
      <c r="TJ53" s="4"/>
      <c r="TK53" s="4"/>
      <c r="TL53" s="4"/>
      <c r="TM53" s="4"/>
      <c r="TP53" s="4"/>
      <c r="TQ53" s="4"/>
      <c r="TR53" s="4"/>
      <c r="TS53" s="4"/>
      <c r="TT53" s="4"/>
      <c r="TU53" s="4"/>
      <c r="TV53" s="4"/>
      <c r="TW53" s="4"/>
      <c r="TX53" s="4"/>
      <c r="TY53" s="4"/>
      <c r="TZ53" s="4"/>
      <c r="UC53" s="4"/>
      <c r="UD53" s="4"/>
      <c r="UE53" s="4"/>
      <c r="UF53" s="4"/>
      <c r="UG53" s="4"/>
      <c r="UH53" s="4"/>
      <c r="UI53" s="4"/>
      <c r="UJ53" s="4"/>
      <c r="UK53" s="4"/>
      <c r="UL53" s="4"/>
      <c r="UM53" s="4"/>
      <c r="UP53" s="4"/>
      <c r="UQ53" s="4"/>
      <c r="UR53" s="4"/>
      <c r="US53" s="4"/>
      <c r="UT53" s="4"/>
      <c r="UU53" s="4"/>
      <c r="UV53" s="4"/>
      <c r="UW53" s="4"/>
      <c r="UX53" s="4"/>
      <c r="UY53" s="4"/>
      <c r="UZ53" s="4"/>
      <c r="VC53" s="4"/>
      <c r="VD53" s="4"/>
      <c r="VE53" s="4"/>
      <c r="VF53" s="4"/>
      <c r="VG53" s="4"/>
      <c r="VH53" s="4"/>
      <c r="VI53" s="4"/>
      <c r="VJ53" s="4"/>
      <c r="VK53" s="4"/>
      <c r="VL53" s="4"/>
      <c r="VM53" s="4"/>
      <c r="VP53" s="4"/>
      <c r="VQ53" s="4"/>
      <c r="VR53" s="4"/>
      <c r="VS53" s="4"/>
      <c r="VT53" s="4"/>
      <c r="VU53" s="4"/>
      <c r="VV53" s="4"/>
      <c r="VW53" s="4"/>
      <c r="VX53" s="4"/>
      <c r="VY53" s="4"/>
      <c r="VZ53" s="4"/>
      <c r="WC53" s="4"/>
      <c r="WD53" s="4"/>
      <c r="WE53" s="4"/>
      <c r="WF53" s="4"/>
      <c r="WG53" s="4"/>
      <c r="WH53" s="4"/>
      <c r="WI53" s="4"/>
      <c r="WJ53" s="4"/>
      <c r="WK53" s="4"/>
      <c r="WL53" s="4"/>
      <c r="WM53" s="4"/>
      <c r="WP53" s="4"/>
      <c r="WQ53" s="4"/>
      <c r="WR53" s="4"/>
      <c r="WS53" s="4"/>
      <c r="WT53" s="4"/>
      <c r="WU53" s="4"/>
      <c r="WV53" s="4"/>
      <c r="WW53" s="4"/>
      <c r="WX53" s="4"/>
      <c r="WY53" s="4"/>
      <c r="WZ53" s="4"/>
      <c r="XC53" s="4"/>
      <c r="XD53" s="4"/>
      <c r="XE53" s="4"/>
      <c r="XF53" s="4"/>
      <c r="XG53" s="4"/>
      <c r="XH53" s="4"/>
      <c r="XI53" s="4"/>
      <c r="XJ53" s="4"/>
      <c r="XK53" s="4"/>
      <c r="XL53" s="4"/>
      <c r="XM53" s="4"/>
      <c r="XP53" s="4"/>
      <c r="XQ53" s="4"/>
      <c r="XR53" s="4"/>
      <c r="XS53" s="4"/>
      <c r="XT53" s="4"/>
      <c r="XU53" s="4"/>
      <c r="XV53" s="4"/>
      <c r="XW53" s="4"/>
      <c r="XX53" s="4"/>
      <c r="XY53" s="4"/>
      <c r="XZ53" s="4"/>
      <c r="YC53" s="4"/>
      <c r="YD53" s="4"/>
      <c r="YE53" s="4"/>
      <c r="YF53" s="4"/>
      <c r="YG53" s="4"/>
      <c r="YH53" s="4"/>
      <c r="YI53" s="4"/>
      <c r="YJ53" s="4"/>
      <c r="YK53" s="4"/>
      <c r="YL53" s="4"/>
      <c r="YM53" s="4"/>
      <c r="YP53" s="4"/>
      <c r="YQ53" s="4"/>
      <c r="YR53" s="4"/>
      <c r="YS53" s="4"/>
      <c r="YT53" s="4"/>
      <c r="YU53" s="4"/>
      <c r="YV53" s="4"/>
      <c r="YW53" s="4"/>
      <c r="YX53" s="4"/>
      <c r="YY53" s="4"/>
      <c r="YZ53" s="4"/>
    </row>
    <row r="54" spans="1:676">
      <c r="B54" s="4"/>
      <c r="C54" s="4"/>
      <c r="D54" s="4"/>
      <c r="E54" s="4"/>
      <c r="F54" s="65"/>
      <c r="G54" s="4"/>
      <c r="H54" s="4"/>
      <c r="I54" s="4"/>
      <c r="J54" s="4"/>
      <c r="K54" s="4"/>
      <c r="L54" s="4"/>
      <c r="M54" s="4"/>
      <c r="N54" s="4"/>
      <c r="R54" s="4"/>
      <c r="S54" s="4"/>
      <c r="T54" s="4"/>
      <c r="U54" s="4"/>
      <c r="V54" s="65"/>
      <c r="W54" s="65"/>
      <c r="X54" s="4"/>
      <c r="Y54" s="4"/>
      <c r="Z54" s="4"/>
      <c r="AA54" s="4"/>
      <c r="AB54" s="4"/>
      <c r="AC54" s="4"/>
      <c r="AD54" s="4"/>
      <c r="AH54" s="4"/>
      <c r="AI54" s="4"/>
      <c r="AJ54" s="4"/>
      <c r="AK54" s="4"/>
      <c r="AL54" s="65"/>
      <c r="AM54" s="65"/>
      <c r="AN54" s="65"/>
      <c r="AO54" s="4"/>
      <c r="AP54" s="4"/>
      <c r="AQ54" s="4"/>
      <c r="AR54" s="4"/>
      <c r="AS54" s="4"/>
      <c r="AT54" s="4"/>
      <c r="AX54" s="4"/>
      <c r="AY54" s="4"/>
      <c r="AZ54" s="4"/>
      <c r="BA54" s="4"/>
      <c r="BB54" s="65"/>
      <c r="BC54" s="65"/>
      <c r="BD54" s="65"/>
      <c r="BE54" s="4"/>
      <c r="BF54" s="4"/>
      <c r="BG54" s="4"/>
      <c r="BH54" s="4"/>
      <c r="BI54" s="4"/>
      <c r="BJ54" s="4"/>
      <c r="BN54" s="4"/>
      <c r="BO54" s="4"/>
      <c r="BP54" s="4"/>
      <c r="BQ54" s="4"/>
      <c r="BR54" s="65"/>
      <c r="BS54" s="4"/>
      <c r="BT54" s="65"/>
      <c r="BU54" s="4"/>
      <c r="BV54" s="4"/>
      <c r="BW54" s="4"/>
      <c r="BX54" s="4"/>
      <c r="BY54" s="4"/>
      <c r="BZ54" s="4"/>
      <c r="CD54" s="4"/>
      <c r="CE54" s="4"/>
      <c r="CF54" s="4"/>
      <c r="CG54" s="4"/>
      <c r="CH54" s="65"/>
      <c r="CI54" s="65"/>
      <c r="CJ54" s="65"/>
      <c r="CK54" s="4"/>
      <c r="CL54" s="4"/>
      <c r="CM54" s="4"/>
      <c r="CN54" s="4"/>
      <c r="CO54" s="4"/>
      <c r="CP54" s="4"/>
      <c r="CT54" s="4"/>
      <c r="CU54" s="4"/>
      <c r="CV54" s="4"/>
      <c r="CW54" s="4"/>
      <c r="CX54" s="65"/>
      <c r="CY54" s="65"/>
      <c r="CZ54" s="65"/>
      <c r="DA54" s="4"/>
      <c r="DB54" s="4"/>
      <c r="DC54" s="4"/>
      <c r="DD54" s="4"/>
      <c r="DE54" s="4"/>
      <c r="DF54" s="4"/>
      <c r="DJ54" s="4"/>
      <c r="DK54" s="4"/>
      <c r="DL54" s="4"/>
      <c r="DM54" s="4"/>
      <c r="DN54" s="65"/>
      <c r="DO54" s="65"/>
      <c r="DP54" s="65"/>
      <c r="DQ54" s="4"/>
      <c r="DR54" s="4"/>
      <c r="DS54" s="4"/>
      <c r="DT54" s="4"/>
      <c r="DU54" s="4"/>
      <c r="DV54" s="4"/>
      <c r="DZ54" s="4"/>
      <c r="EA54" s="4"/>
      <c r="EB54" s="4"/>
      <c r="EC54" s="4"/>
      <c r="ED54" s="65"/>
      <c r="EE54" s="4"/>
      <c r="EF54" s="4"/>
      <c r="EG54" s="4"/>
      <c r="EH54" s="4"/>
      <c r="EI54" s="4"/>
      <c r="EJ54" s="4"/>
      <c r="EN54" s="4"/>
      <c r="EO54" s="4"/>
      <c r="EP54" s="4"/>
      <c r="EQ54" s="4"/>
      <c r="ER54" s="65"/>
      <c r="ES54" s="4"/>
      <c r="ET54" s="4"/>
      <c r="EU54" s="4"/>
      <c r="EV54" s="4"/>
      <c r="EW54" s="4"/>
      <c r="EX54" s="4"/>
      <c r="FB54" s="4"/>
      <c r="FC54" s="4"/>
      <c r="FD54" s="4"/>
      <c r="FE54" s="4"/>
      <c r="FF54" s="65"/>
      <c r="FG54" s="4"/>
      <c r="FH54" s="4"/>
      <c r="FI54" s="4"/>
      <c r="FJ54" s="4"/>
      <c r="FK54" s="4"/>
      <c r="FL54" s="4"/>
      <c r="FP54" s="4"/>
      <c r="FQ54" s="4"/>
      <c r="FR54" s="4"/>
      <c r="FS54" s="4"/>
      <c r="FT54" s="65"/>
      <c r="FU54" s="4"/>
      <c r="FV54" s="4"/>
      <c r="FW54" s="4"/>
      <c r="FX54" s="4"/>
      <c r="FY54" s="4"/>
      <c r="FZ54" s="4"/>
      <c r="GD54" s="4"/>
      <c r="GE54" s="4"/>
      <c r="GF54" s="4"/>
      <c r="GG54" s="4"/>
      <c r="GH54" s="65"/>
      <c r="GI54" s="4"/>
      <c r="GJ54" s="4"/>
      <c r="GK54" s="4"/>
      <c r="GL54" s="4"/>
      <c r="GM54" s="4"/>
      <c r="GN54" s="4"/>
      <c r="GR54" s="4"/>
      <c r="GS54" s="4"/>
      <c r="GT54" s="4"/>
      <c r="GU54" s="4"/>
      <c r="GV54" s="65"/>
      <c r="GW54" s="4"/>
      <c r="GX54" s="4"/>
      <c r="GY54" s="4"/>
      <c r="GZ54" s="4"/>
      <c r="HA54" s="4"/>
      <c r="HB54" s="4"/>
      <c r="HF54" s="4"/>
      <c r="HG54" s="4"/>
      <c r="HH54" s="4"/>
      <c r="HI54" s="4"/>
      <c r="HJ54" s="65"/>
      <c r="HK54" s="4"/>
      <c r="HL54" s="4"/>
      <c r="HM54" s="4"/>
      <c r="HN54" s="4"/>
      <c r="HO54" s="4"/>
      <c r="HP54" s="4"/>
      <c r="HT54" s="4"/>
      <c r="HU54" s="4"/>
      <c r="HV54" s="4"/>
      <c r="HW54" s="4"/>
      <c r="HX54" s="65"/>
      <c r="HY54" s="4"/>
      <c r="HZ54" s="4"/>
      <c r="IA54" s="4"/>
      <c r="IB54" s="4"/>
      <c r="IC54" s="4"/>
      <c r="ID54" s="4"/>
      <c r="IH54" s="4"/>
      <c r="II54" s="4"/>
      <c r="IJ54" s="4"/>
      <c r="IK54" s="4"/>
      <c r="IL54" s="65"/>
      <c r="IM54" s="4"/>
      <c r="IN54" s="4"/>
      <c r="IO54" s="4"/>
      <c r="IP54" s="4"/>
      <c r="IQ54" s="4"/>
      <c r="IR54" s="4"/>
      <c r="IV54" s="4"/>
      <c r="IW54" s="4"/>
      <c r="IX54" s="4"/>
      <c r="IY54" s="4"/>
      <c r="IZ54" s="65"/>
      <c r="JA54" s="4"/>
      <c r="JB54" s="4"/>
      <c r="JC54" s="4"/>
      <c r="JD54" s="4"/>
      <c r="JE54" s="4"/>
      <c r="JF54" s="4"/>
      <c r="JJ54" s="4"/>
      <c r="JK54" s="4"/>
      <c r="JL54" s="4"/>
      <c r="JM54" s="4"/>
      <c r="JN54" s="65"/>
      <c r="JO54" s="4"/>
      <c r="JP54" s="4"/>
      <c r="JQ54" s="4"/>
      <c r="JR54" s="4"/>
      <c r="JS54" s="4"/>
      <c r="JT54" s="4"/>
      <c r="JX54" s="4"/>
      <c r="JY54" s="4"/>
      <c r="JZ54" s="4"/>
      <c r="KA54" s="4"/>
      <c r="KB54" s="65"/>
      <c r="KC54" s="4"/>
      <c r="KD54" s="4"/>
      <c r="KE54" s="4"/>
      <c r="KF54" s="4"/>
      <c r="KG54" s="4"/>
      <c r="KH54" s="4"/>
      <c r="KL54" s="4"/>
      <c r="KM54" s="4"/>
      <c r="KN54" s="4"/>
      <c r="KO54" s="4"/>
      <c r="KP54" s="65"/>
      <c r="KQ54" s="4"/>
      <c r="KR54" s="4"/>
      <c r="KS54" s="4"/>
      <c r="KT54" s="4"/>
      <c r="KU54" s="4"/>
      <c r="KV54" s="4"/>
      <c r="KZ54" s="4"/>
      <c r="LA54" s="4"/>
      <c r="LB54" s="4"/>
      <c r="LC54" s="4"/>
      <c r="LD54" s="65"/>
      <c r="LE54" s="4"/>
      <c r="LF54" s="4"/>
      <c r="LG54" s="4"/>
      <c r="LH54" s="4"/>
      <c r="LI54" s="4"/>
      <c r="LJ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N54" s="4"/>
      <c r="MO54" s="4"/>
      <c r="MP54" s="4"/>
      <c r="MQ54" s="4"/>
      <c r="MR54" s="65"/>
      <c r="MS54" s="4"/>
      <c r="MT54" s="4"/>
      <c r="MU54" s="4"/>
      <c r="MV54" s="4"/>
      <c r="MW54" s="4"/>
      <c r="MX54" s="4"/>
      <c r="NB54" s="4"/>
      <c r="NC54" s="4"/>
      <c r="ND54" s="4"/>
      <c r="NE54" s="4"/>
      <c r="NF54" s="67"/>
      <c r="NG54" s="4"/>
      <c r="NH54" s="4"/>
      <c r="NI54" s="4"/>
      <c r="NJ54" s="4"/>
      <c r="NK54" s="4"/>
      <c r="NL54" s="4"/>
      <c r="NP54" s="4"/>
      <c r="NQ54" s="4"/>
      <c r="NR54" s="4"/>
      <c r="NS54" s="4"/>
      <c r="NT54" s="4"/>
      <c r="NU54" s="4"/>
      <c r="NV54" s="4"/>
      <c r="NW54" s="4"/>
      <c r="NX54" s="4"/>
      <c r="NY54" s="4"/>
      <c r="NZ54" s="4"/>
      <c r="OC54" s="4"/>
      <c r="OD54" s="4"/>
      <c r="OE54" s="4"/>
      <c r="OF54" s="4"/>
      <c r="OG54" s="4"/>
      <c r="OH54" s="4"/>
      <c r="OI54" s="4"/>
      <c r="OJ54" s="4"/>
      <c r="OK54" s="4"/>
      <c r="OL54" s="4"/>
      <c r="OM54" s="4"/>
      <c r="OP54" s="4"/>
      <c r="OQ54" s="4"/>
      <c r="OR54" s="4"/>
      <c r="OS54" s="4"/>
      <c r="OT54" s="4"/>
      <c r="OU54" s="4"/>
      <c r="OV54" s="4"/>
      <c r="OW54" s="4"/>
      <c r="OX54" s="4"/>
      <c r="OY54" s="4"/>
      <c r="OZ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P54" s="4"/>
      <c r="SQ54" s="4"/>
      <c r="SR54" s="4"/>
      <c r="SS54" s="4"/>
      <c r="ST54" s="4"/>
      <c r="SU54" s="4"/>
      <c r="SV54" s="4"/>
      <c r="SW54" s="4"/>
      <c r="SX54" s="4"/>
      <c r="SY54" s="4"/>
      <c r="SZ54" s="4"/>
      <c r="TC54" s="4"/>
      <c r="TD54" s="4"/>
      <c r="TE54" s="4"/>
      <c r="TF54" s="4"/>
      <c r="TG54" s="4"/>
      <c r="TH54" s="4"/>
      <c r="TI54" s="4"/>
      <c r="TJ54" s="4"/>
      <c r="TK54" s="4"/>
      <c r="TL54" s="4"/>
      <c r="TM54" s="4"/>
      <c r="TP54" s="4"/>
      <c r="TQ54" s="4"/>
      <c r="TR54" s="4"/>
      <c r="TS54" s="4"/>
      <c r="TT54" s="4"/>
      <c r="TU54" s="4"/>
      <c r="TV54" s="4"/>
      <c r="TW54" s="4"/>
      <c r="TX54" s="4"/>
      <c r="TY54" s="4"/>
      <c r="TZ54" s="4"/>
      <c r="UC54" s="4"/>
      <c r="UD54" s="4"/>
      <c r="UE54" s="4"/>
      <c r="UF54" s="4"/>
      <c r="UG54" s="4"/>
      <c r="UH54" s="4"/>
      <c r="UI54" s="4"/>
      <c r="UJ54" s="4"/>
      <c r="UK54" s="4"/>
      <c r="UL54" s="4"/>
      <c r="UM54" s="4"/>
      <c r="UP54" s="4"/>
      <c r="UQ54" s="4"/>
      <c r="UR54" s="4"/>
      <c r="US54" s="4"/>
      <c r="UT54" s="4"/>
      <c r="UU54" s="4"/>
      <c r="UV54" s="4"/>
      <c r="UW54" s="4"/>
      <c r="UX54" s="4"/>
      <c r="UY54" s="4"/>
      <c r="UZ54" s="4"/>
      <c r="VC54" s="4"/>
      <c r="VD54" s="4"/>
      <c r="VE54" s="4"/>
      <c r="VF54" s="4"/>
      <c r="VG54" s="4"/>
      <c r="VH54" s="4"/>
      <c r="VI54" s="4"/>
      <c r="VJ54" s="4"/>
      <c r="VK54" s="4"/>
      <c r="VL54" s="4"/>
      <c r="VM54" s="4"/>
      <c r="VP54" s="4"/>
      <c r="VQ54" s="4"/>
      <c r="VR54" s="4"/>
      <c r="VS54" s="4"/>
      <c r="VT54" s="4"/>
      <c r="VU54" s="4"/>
      <c r="VV54" s="4"/>
      <c r="VW54" s="4"/>
      <c r="VX54" s="4"/>
      <c r="VY54" s="4"/>
      <c r="VZ54" s="4"/>
      <c r="WC54" s="4"/>
      <c r="WD54" s="4"/>
      <c r="WE54" s="4"/>
      <c r="WF54" s="4"/>
      <c r="WG54" s="4"/>
      <c r="WH54" s="4"/>
      <c r="WI54" s="4"/>
      <c r="WJ54" s="4"/>
      <c r="WK54" s="4"/>
      <c r="WL54" s="4"/>
      <c r="WM54" s="4"/>
      <c r="WP54" s="4"/>
      <c r="WQ54" s="4"/>
      <c r="WR54" s="4"/>
      <c r="WS54" s="4"/>
      <c r="WT54" s="4"/>
      <c r="WU54" s="4"/>
      <c r="WV54" s="4"/>
      <c r="WW54" s="4"/>
      <c r="WX54" s="4"/>
      <c r="WY54" s="4"/>
      <c r="WZ54" s="4"/>
      <c r="XC54" s="4"/>
      <c r="XD54" s="4"/>
      <c r="XE54" s="4"/>
      <c r="XF54" s="4"/>
      <c r="XG54" s="4"/>
      <c r="XH54" s="4"/>
      <c r="XI54" s="4"/>
      <c r="XJ54" s="4"/>
      <c r="XK54" s="4"/>
      <c r="XL54" s="4"/>
      <c r="XM54" s="4"/>
      <c r="XP54" s="4"/>
      <c r="XQ54" s="4"/>
      <c r="XR54" s="4"/>
      <c r="XS54" s="4"/>
      <c r="XT54" s="4"/>
      <c r="XU54" s="4"/>
      <c r="XV54" s="4"/>
      <c r="XW54" s="4"/>
      <c r="XX54" s="4"/>
      <c r="XY54" s="4"/>
      <c r="XZ54" s="4"/>
      <c r="YC54" s="4"/>
      <c r="YD54" s="4"/>
      <c r="YE54" s="4"/>
      <c r="YF54" s="4"/>
      <c r="YG54" s="4"/>
      <c r="YH54" s="4"/>
      <c r="YI54" s="4"/>
      <c r="YJ54" s="4"/>
      <c r="YK54" s="4"/>
      <c r="YL54" s="4"/>
      <c r="YM54" s="4"/>
      <c r="YP54" s="4"/>
      <c r="YQ54" s="4"/>
      <c r="YR54" s="4"/>
      <c r="YS54" s="4"/>
      <c r="YT54" s="4"/>
      <c r="YU54" s="4"/>
      <c r="YV54" s="4"/>
      <c r="YW54" s="4"/>
      <c r="YX54" s="4"/>
      <c r="YY54" s="4"/>
      <c r="YZ54" s="4"/>
    </row>
    <row r="55" spans="1:676">
      <c r="B55" s="4"/>
      <c r="C55" s="4"/>
      <c r="D55" s="4"/>
      <c r="E55" s="4"/>
      <c r="F55" s="65"/>
      <c r="G55" s="4"/>
      <c r="H55" s="4"/>
      <c r="I55" s="4"/>
      <c r="J55" s="4"/>
      <c r="K55" s="4"/>
      <c r="L55" s="4"/>
      <c r="M55" s="4"/>
      <c r="N55" s="4"/>
      <c r="R55" s="4"/>
      <c r="S55" s="4"/>
      <c r="T55" s="4"/>
      <c r="U55" s="4"/>
      <c r="V55" s="65"/>
      <c r="W55" s="65"/>
      <c r="X55" s="4"/>
      <c r="Y55" s="4"/>
      <c r="Z55" s="4"/>
      <c r="AA55" s="4"/>
      <c r="AB55" s="4"/>
      <c r="AC55" s="4"/>
      <c r="AD55" s="4"/>
      <c r="AH55" s="4"/>
      <c r="AI55" s="4"/>
      <c r="AJ55" s="4"/>
      <c r="AK55" s="4"/>
      <c r="AL55" s="65"/>
      <c r="AM55" s="65"/>
      <c r="AN55" s="65"/>
      <c r="AO55" s="4"/>
      <c r="AP55" s="4"/>
      <c r="AQ55" s="4"/>
      <c r="AR55" s="4"/>
      <c r="AS55" s="4"/>
      <c r="AT55" s="4"/>
      <c r="AX55" s="4"/>
      <c r="AY55" s="4"/>
      <c r="AZ55" s="4"/>
      <c r="BA55" s="4"/>
      <c r="BB55" s="65"/>
      <c r="BC55" s="65"/>
      <c r="BD55" s="65"/>
      <c r="BE55" s="4"/>
      <c r="BF55" s="4"/>
      <c r="BG55" s="4"/>
      <c r="BH55" s="4"/>
      <c r="BI55" s="4"/>
      <c r="BJ55" s="4"/>
      <c r="BN55" s="4"/>
      <c r="BO55" s="4"/>
      <c r="BP55" s="4"/>
      <c r="BQ55" s="4"/>
      <c r="BR55" s="65"/>
      <c r="BS55" s="4"/>
      <c r="BT55" s="65"/>
      <c r="BU55" s="4"/>
      <c r="BV55" s="4"/>
      <c r="BW55" s="4"/>
      <c r="BX55" s="4"/>
      <c r="BY55" s="4"/>
      <c r="BZ55" s="4"/>
      <c r="CD55" s="4"/>
      <c r="CE55" s="4"/>
      <c r="CF55" s="4"/>
      <c r="CG55" s="4"/>
      <c r="CH55" s="65"/>
      <c r="CI55" s="65"/>
      <c r="CJ55" s="65"/>
      <c r="CK55" s="4"/>
      <c r="CL55" s="4"/>
      <c r="CM55" s="4"/>
      <c r="CN55" s="4"/>
      <c r="CO55" s="4"/>
      <c r="CP55" s="4"/>
      <c r="CT55" s="4"/>
      <c r="CU55" s="4"/>
      <c r="CV55" s="4"/>
      <c r="CW55" s="4"/>
      <c r="CX55" s="65"/>
      <c r="CY55" s="65"/>
      <c r="CZ55" s="65"/>
      <c r="DA55" s="4"/>
      <c r="DB55" s="4"/>
      <c r="DC55" s="4"/>
      <c r="DD55" s="4"/>
      <c r="DE55" s="4"/>
      <c r="DF55" s="4"/>
      <c r="DJ55" s="4"/>
      <c r="DK55" s="4"/>
      <c r="DL55" s="4"/>
      <c r="DM55" s="4"/>
      <c r="DN55" s="65"/>
      <c r="DO55" s="65"/>
      <c r="DP55" s="65"/>
      <c r="DQ55" s="4"/>
      <c r="DR55" s="4"/>
      <c r="DS55" s="4"/>
      <c r="DT55" s="4"/>
      <c r="DU55" s="4"/>
      <c r="DV55" s="4"/>
      <c r="DZ55" s="4"/>
      <c r="EA55" s="4"/>
      <c r="EB55" s="4"/>
      <c r="EC55" s="4"/>
      <c r="ED55" s="65"/>
      <c r="EE55" s="4"/>
      <c r="EF55" s="4"/>
      <c r="EG55" s="4"/>
      <c r="EH55" s="4"/>
      <c r="EI55" s="4"/>
      <c r="EJ55" s="4"/>
      <c r="EN55" s="4"/>
      <c r="EO55" s="4"/>
      <c r="EP55" s="4"/>
      <c r="EQ55" s="4"/>
      <c r="ER55" s="65"/>
      <c r="ES55" s="4"/>
      <c r="ET55" s="4"/>
      <c r="EU55" s="4"/>
      <c r="EV55" s="4"/>
      <c r="EW55" s="4"/>
      <c r="EX55" s="4"/>
      <c r="FB55" s="4"/>
      <c r="FC55" s="4"/>
      <c r="FD55" s="4"/>
      <c r="FE55" s="4"/>
      <c r="FF55" s="65"/>
      <c r="FG55" s="4"/>
      <c r="FH55" s="4"/>
      <c r="FI55" s="4"/>
      <c r="FJ55" s="4"/>
      <c r="FK55" s="4"/>
      <c r="FL55" s="4"/>
      <c r="FP55" s="4"/>
      <c r="FQ55" s="4"/>
      <c r="FR55" s="4"/>
      <c r="FS55" s="4"/>
      <c r="FT55" s="65"/>
      <c r="FU55" s="4"/>
      <c r="FV55" s="4"/>
      <c r="FW55" s="4"/>
      <c r="FX55" s="4"/>
      <c r="FY55" s="4"/>
      <c r="FZ55" s="4"/>
      <c r="GD55" s="4"/>
      <c r="GE55" s="4"/>
      <c r="GF55" s="4"/>
      <c r="GG55" s="4"/>
      <c r="GH55" s="65"/>
      <c r="GI55" s="4"/>
      <c r="GJ55" s="4"/>
      <c r="GK55" s="4"/>
      <c r="GL55" s="4"/>
      <c r="GM55" s="4"/>
      <c r="GN55" s="4"/>
      <c r="GR55" s="4"/>
      <c r="GS55" s="4"/>
      <c r="GT55" s="4"/>
      <c r="GU55" s="4"/>
      <c r="GV55" s="65"/>
      <c r="GW55" s="4"/>
      <c r="GX55" s="4"/>
      <c r="GY55" s="4"/>
      <c r="GZ55" s="4"/>
      <c r="HA55" s="4"/>
      <c r="HB55" s="4"/>
      <c r="HF55" s="4"/>
      <c r="HG55" s="4"/>
      <c r="HH55" s="4"/>
      <c r="HI55" s="4"/>
      <c r="HJ55" s="65"/>
      <c r="HK55" s="4"/>
      <c r="HL55" s="4"/>
      <c r="HM55" s="4"/>
      <c r="HN55" s="4"/>
      <c r="HO55" s="4"/>
      <c r="HP55" s="4"/>
      <c r="HT55" s="4"/>
      <c r="HU55" s="4"/>
      <c r="HV55" s="4"/>
      <c r="HW55" s="4"/>
      <c r="HX55" s="65"/>
      <c r="HY55" s="4"/>
      <c r="HZ55" s="4"/>
      <c r="IA55" s="4"/>
      <c r="IB55" s="4"/>
      <c r="IC55" s="4"/>
      <c r="ID55" s="4"/>
      <c r="IH55" s="4"/>
      <c r="II55" s="4"/>
      <c r="IJ55" s="4"/>
      <c r="IK55" s="4"/>
      <c r="IL55" s="65"/>
      <c r="IM55" s="4"/>
      <c r="IN55" s="4"/>
      <c r="IO55" s="4"/>
      <c r="IP55" s="4"/>
      <c r="IQ55" s="4"/>
      <c r="IR55" s="4"/>
      <c r="IV55" s="4"/>
      <c r="IW55" s="4"/>
      <c r="IX55" s="4"/>
      <c r="IY55" s="4"/>
      <c r="IZ55" s="65"/>
      <c r="JA55" s="4"/>
      <c r="JB55" s="4"/>
      <c r="JC55" s="4"/>
      <c r="JD55" s="4"/>
      <c r="JE55" s="4"/>
      <c r="JF55" s="4"/>
      <c r="JJ55" s="4"/>
      <c r="JK55" s="4"/>
      <c r="JL55" s="4"/>
      <c r="JM55" s="4"/>
      <c r="JN55" s="65"/>
      <c r="JO55" s="4"/>
      <c r="JP55" s="4"/>
      <c r="JQ55" s="4"/>
      <c r="JR55" s="4"/>
      <c r="JS55" s="4"/>
      <c r="JT55" s="4"/>
      <c r="JX55" s="4"/>
      <c r="JY55" s="4"/>
      <c r="JZ55" s="4"/>
      <c r="KA55" s="4"/>
      <c r="KB55" s="65"/>
      <c r="KC55" s="4"/>
      <c r="KD55" s="4"/>
      <c r="KE55" s="4"/>
      <c r="KF55" s="4"/>
      <c r="KG55" s="4"/>
      <c r="KH55" s="4"/>
      <c r="KL55" s="4"/>
      <c r="KM55" s="4"/>
      <c r="KN55" s="4"/>
      <c r="KO55" s="4"/>
      <c r="KP55" s="65"/>
      <c r="KQ55" s="4"/>
      <c r="KR55" s="4"/>
      <c r="KS55" s="4"/>
      <c r="KT55" s="4"/>
      <c r="KU55" s="4"/>
      <c r="KV55" s="4"/>
      <c r="KZ55" s="4"/>
      <c r="LA55" s="4"/>
      <c r="LB55" s="4"/>
      <c r="LC55" s="4"/>
      <c r="LD55" s="65"/>
      <c r="LE55" s="4"/>
      <c r="LF55" s="4"/>
      <c r="LG55" s="4"/>
      <c r="LH55" s="4"/>
      <c r="LI55" s="4"/>
      <c r="LJ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N55" s="4"/>
      <c r="MO55" s="4"/>
      <c r="MP55" s="4"/>
      <c r="MQ55" s="4"/>
      <c r="MR55" s="65"/>
      <c r="MS55" s="4"/>
      <c r="MT55" s="4"/>
      <c r="MU55" s="4"/>
      <c r="MV55" s="4"/>
      <c r="MW55" s="4"/>
      <c r="MX55" s="4"/>
      <c r="NB55" s="4"/>
      <c r="NC55" s="4"/>
      <c r="ND55" s="4"/>
      <c r="NE55" s="4"/>
      <c r="NF55" s="65"/>
      <c r="NG55" s="4"/>
      <c r="NH55" s="4"/>
      <c r="NI55" s="4"/>
      <c r="NJ55" s="4"/>
      <c r="NK55" s="4"/>
      <c r="NL55" s="4"/>
      <c r="NP55" s="4"/>
      <c r="NQ55" s="4"/>
      <c r="NR55" s="4"/>
      <c r="NS55" s="4"/>
      <c r="NT55" s="4"/>
      <c r="NU55" s="4"/>
      <c r="NV55" s="4"/>
      <c r="NW55" s="4"/>
      <c r="NX55" s="4"/>
      <c r="NY55" s="4"/>
      <c r="NZ55" s="4"/>
      <c r="OC55" s="4"/>
      <c r="OD55" s="4"/>
      <c r="OE55" s="4"/>
      <c r="OF55" s="4"/>
      <c r="OG55" s="4"/>
      <c r="OH55" s="4"/>
      <c r="OI55" s="4"/>
      <c r="OJ55" s="4"/>
      <c r="OK55" s="4"/>
      <c r="OL55" s="4"/>
      <c r="OM55" s="4"/>
      <c r="OP55" s="4"/>
      <c r="OQ55" s="4"/>
      <c r="OR55" s="4"/>
      <c r="OS55" s="4"/>
      <c r="OT55" s="4"/>
      <c r="OU55" s="4"/>
      <c r="OV55" s="4"/>
      <c r="OW55" s="4"/>
      <c r="OX55" s="4"/>
      <c r="OY55" s="4"/>
      <c r="OZ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P55" s="4"/>
      <c r="SQ55" s="4"/>
      <c r="SR55" s="4"/>
      <c r="SS55" s="4"/>
      <c r="ST55" s="4"/>
      <c r="SU55" s="4"/>
      <c r="SV55" s="4"/>
      <c r="SW55" s="4"/>
      <c r="SX55" s="4"/>
      <c r="SY55" s="4"/>
      <c r="SZ55" s="4"/>
      <c r="TC55" s="4"/>
      <c r="TD55" s="4"/>
      <c r="TE55" s="4"/>
      <c r="TF55" s="4"/>
      <c r="TG55" s="4"/>
      <c r="TH55" s="4"/>
      <c r="TI55" s="4"/>
      <c r="TJ55" s="4"/>
      <c r="TK55" s="4"/>
      <c r="TL55" s="4"/>
      <c r="TM55" s="4"/>
      <c r="TP55" s="4"/>
      <c r="TQ55" s="4"/>
      <c r="TR55" s="4"/>
      <c r="TS55" s="4"/>
      <c r="TT55" s="4"/>
      <c r="TU55" s="4"/>
      <c r="TV55" s="4"/>
      <c r="TW55" s="4"/>
      <c r="TX55" s="4"/>
      <c r="TY55" s="4"/>
      <c r="TZ55" s="4"/>
      <c r="UC55" s="4"/>
      <c r="UD55" s="4"/>
      <c r="UE55" s="4"/>
      <c r="UF55" s="4"/>
      <c r="UG55" s="4"/>
      <c r="UH55" s="4"/>
      <c r="UI55" s="4"/>
      <c r="UJ55" s="4"/>
      <c r="UK55" s="4"/>
      <c r="UL55" s="4"/>
      <c r="UM55" s="4"/>
      <c r="UP55" s="4"/>
      <c r="UQ55" s="4"/>
      <c r="UR55" s="4"/>
      <c r="US55" s="4"/>
      <c r="UT55" s="4"/>
      <c r="UU55" s="4"/>
      <c r="UV55" s="4"/>
      <c r="UW55" s="4"/>
      <c r="UX55" s="4"/>
      <c r="UY55" s="4"/>
      <c r="UZ55" s="4"/>
      <c r="VC55" s="4"/>
      <c r="VD55" s="4"/>
      <c r="VE55" s="4"/>
      <c r="VF55" s="4"/>
      <c r="VG55" s="4"/>
      <c r="VH55" s="4"/>
      <c r="VI55" s="4"/>
      <c r="VJ55" s="4"/>
      <c r="VK55" s="4"/>
      <c r="VL55" s="4"/>
      <c r="VM55" s="4"/>
      <c r="VP55" s="4"/>
      <c r="VQ55" s="4"/>
      <c r="VR55" s="4"/>
      <c r="VS55" s="4"/>
      <c r="VT55" s="4"/>
      <c r="VU55" s="4"/>
      <c r="VV55" s="4"/>
      <c r="VW55" s="4"/>
      <c r="VX55" s="4"/>
      <c r="VY55" s="4"/>
      <c r="VZ55" s="4"/>
      <c r="WC55" s="4"/>
      <c r="WD55" s="4"/>
      <c r="WE55" s="4"/>
      <c r="WF55" s="4"/>
      <c r="WG55" s="4"/>
      <c r="WH55" s="4"/>
      <c r="WI55" s="4"/>
      <c r="WJ55" s="4"/>
      <c r="WK55" s="4"/>
      <c r="WL55" s="4"/>
      <c r="WM55" s="4"/>
      <c r="WP55" s="4"/>
      <c r="WQ55" s="4"/>
      <c r="WR55" s="4"/>
      <c r="WS55" s="4"/>
      <c r="WT55" s="4"/>
      <c r="WU55" s="4"/>
      <c r="WV55" s="4"/>
      <c r="WW55" s="4"/>
      <c r="WX55" s="4"/>
      <c r="WY55" s="4"/>
      <c r="WZ55" s="4"/>
      <c r="XC55" s="4"/>
      <c r="XD55" s="4"/>
      <c r="XE55" s="4"/>
      <c r="XF55" s="4"/>
      <c r="XG55" s="4"/>
      <c r="XH55" s="4"/>
      <c r="XI55" s="4"/>
      <c r="XJ55" s="4"/>
      <c r="XK55" s="4"/>
      <c r="XL55" s="4"/>
      <c r="XM55" s="4"/>
      <c r="XP55" s="4"/>
      <c r="XQ55" s="4"/>
      <c r="XR55" s="4"/>
      <c r="XS55" s="4"/>
      <c r="XT55" s="4"/>
      <c r="XU55" s="4"/>
      <c r="XV55" s="4"/>
      <c r="XW55" s="4"/>
      <c r="XX55" s="4"/>
      <c r="XY55" s="4"/>
      <c r="XZ55" s="4"/>
      <c r="YC55" s="4"/>
      <c r="YD55" s="4"/>
      <c r="YE55" s="4"/>
      <c r="YF55" s="4"/>
      <c r="YG55" s="4"/>
      <c r="YH55" s="4"/>
      <c r="YI55" s="4"/>
      <c r="YJ55" s="4"/>
      <c r="YK55" s="4"/>
      <c r="YL55" s="4"/>
      <c r="YM55" s="4"/>
      <c r="YP55" s="4"/>
      <c r="YQ55" s="4"/>
      <c r="YR55" s="4"/>
      <c r="YS55" s="4"/>
      <c r="YT55" s="4"/>
      <c r="YU55" s="4"/>
      <c r="YV55" s="4"/>
      <c r="YW55" s="4"/>
      <c r="YX55" s="4"/>
      <c r="YY55" s="4"/>
      <c r="YZ55" s="4"/>
    </row>
    <row r="56" spans="1:676">
      <c r="B56" s="4"/>
      <c r="C56" s="4"/>
      <c r="D56" s="4"/>
      <c r="E56" s="4"/>
      <c r="F56" s="65"/>
      <c r="G56" s="4"/>
      <c r="H56" s="4"/>
      <c r="I56" s="4"/>
      <c r="J56" s="4"/>
      <c r="K56" s="4"/>
      <c r="L56" s="4"/>
      <c r="M56" s="4"/>
      <c r="N56" s="4"/>
      <c r="R56" s="4"/>
      <c r="S56" s="4"/>
      <c r="T56" s="4"/>
      <c r="U56" s="4"/>
      <c r="V56" s="65"/>
      <c r="W56" s="65"/>
      <c r="X56" s="4"/>
      <c r="Y56" s="4"/>
      <c r="Z56" s="4"/>
      <c r="AA56" s="4"/>
      <c r="AB56" s="4"/>
      <c r="AC56" s="4"/>
      <c r="AD56" s="4"/>
      <c r="AH56" s="4"/>
      <c r="AI56" s="4"/>
      <c r="AJ56" s="4"/>
      <c r="AK56" s="4"/>
      <c r="AL56" s="65"/>
      <c r="AM56" s="65"/>
      <c r="AN56" s="65"/>
      <c r="AO56" s="4"/>
      <c r="AP56" s="4"/>
      <c r="AQ56" s="4"/>
      <c r="AR56" s="4"/>
      <c r="AS56" s="4"/>
      <c r="AT56" s="4"/>
      <c r="AX56" s="4"/>
      <c r="AY56" s="4"/>
      <c r="AZ56" s="4"/>
      <c r="BA56" s="4"/>
      <c r="BB56" s="65"/>
      <c r="BC56" s="65"/>
      <c r="BD56" s="65"/>
      <c r="BE56" s="4"/>
      <c r="BF56" s="4"/>
      <c r="BG56" s="4"/>
      <c r="BH56" s="4"/>
      <c r="BI56" s="4"/>
      <c r="BJ56" s="4"/>
      <c r="BN56" s="4"/>
      <c r="BO56" s="4"/>
      <c r="BP56" s="4"/>
      <c r="BQ56" s="4"/>
      <c r="BR56" s="65"/>
      <c r="BS56" s="4"/>
      <c r="BT56" s="65"/>
      <c r="BU56" s="4"/>
      <c r="BV56" s="4"/>
      <c r="BW56" s="4"/>
      <c r="BX56" s="4"/>
      <c r="BY56" s="4"/>
      <c r="BZ56" s="4"/>
      <c r="CD56" s="4"/>
      <c r="CE56" s="4"/>
      <c r="CF56" s="4"/>
      <c r="CG56" s="4"/>
      <c r="CH56" s="65"/>
      <c r="CI56" s="65"/>
      <c r="CJ56" s="65"/>
      <c r="CK56" s="4"/>
      <c r="CL56" s="4"/>
      <c r="CM56" s="4"/>
      <c r="CN56" s="4"/>
      <c r="CO56" s="4"/>
      <c r="CP56" s="4"/>
      <c r="CT56" s="4"/>
      <c r="CU56" s="4"/>
      <c r="CV56" s="4"/>
      <c r="CW56" s="4"/>
      <c r="CX56" s="65"/>
      <c r="CY56" s="65"/>
      <c r="CZ56" s="65"/>
      <c r="DA56" s="4"/>
      <c r="DB56" s="4"/>
      <c r="DC56" s="4"/>
      <c r="DD56" s="4"/>
      <c r="DE56" s="4"/>
      <c r="DF56" s="4"/>
      <c r="DJ56" s="4"/>
      <c r="DK56" s="4"/>
      <c r="DL56" s="4"/>
      <c r="DM56" s="4"/>
      <c r="DN56" s="65"/>
      <c r="DO56" s="65"/>
      <c r="DP56" s="65"/>
      <c r="DQ56" s="4"/>
      <c r="DR56" s="4"/>
      <c r="DS56" s="4"/>
      <c r="DT56" s="4"/>
      <c r="DU56" s="4"/>
      <c r="DV56" s="4"/>
      <c r="DZ56" s="4"/>
      <c r="EA56" s="4"/>
      <c r="EB56" s="4"/>
      <c r="EC56" s="4"/>
      <c r="ED56" s="65"/>
      <c r="EE56" s="4"/>
      <c r="EF56" s="4"/>
      <c r="EG56" s="4"/>
      <c r="EH56" s="4"/>
      <c r="EI56" s="4"/>
      <c r="EJ56" s="4"/>
      <c r="EN56" s="4"/>
      <c r="EO56" s="4"/>
      <c r="EP56" s="4"/>
      <c r="EQ56" s="4"/>
      <c r="ER56" s="65"/>
      <c r="ES56" s="4"/>
      <c r="ET56" s="4"/>
      <c r="EU56" s="4"/>
      <c r="EV56" s="4"/>
      <c r="EW56" s="4"/>
      <c r="EX56" s="4"/>
      <c r="FB56" s="4"/>
      <c r="FC56" s="4"/>
      <c r="FD56" s="4"/>
      <c r="FE56" s="4"/>
      <c r="FF56" s="65"/>
      <c r="FG56" s="4"/>
      <c r="FH56" s="4"/>
      <c r="FI56" s="4"/>
      <c r="FJ56" s="4"/>
      <c r="FK56" s="4"/>
      <c r="FL56" s="4"/>
      <c r="FP56" s="4"/>
      <c r="FQ56" s="4"/>
      <c r="FR56" s="4"/>
      <c r="FS56" s="4"/>
      <c r="FT56" s="65"/>
      <c r="FU56" s="4"/>
      <c r="FV56" s="4"/>
      <c r="FW56" s="4"/>
      <c r="FX56" s="4"/>
      <c r="FY56" s="4"/>
      <c r="FZ56" s="4"/>
      <c r="GD56" s="4"/>
      <c r="GE56" s="4"/>
      <c r="GF56" s="4"/>
      <c r="GG56" s="4"/>
      <c r="GH56" s="65"/>
      <c r="GI56" s="4"/>
      <c r="GJ56" s="4"/>
      <c r="GK56" s="4"/>
      <c r="GL56" s="4"/>
      <c r="GM56" s="4"/>
      <c r="GN56" s="4"/>
      <c r="GR56" s="4"/>
      <c r="GS56" s="4"/>
      <c r="GT56" s="4"/>
      <c r="GU56" s="4"/>
      <c r="GV56" s="65"/>
      <c r="GW56" s="4"/>
      <c r="GX56" s="4"/>
      <c r="GY56" s="4"/>
      <c r="GZ56" s="4"/>
      <c r="HA56" s="4"/>
      <c r="HB56" s="4"/>
      <c r="HF56" s="4"/>
      <c r="HG56" s="4"/>
      <c r="HH56" s="4"/>
      <c r="HI56" s="4"/>
      <c r="HJ56" s="65"/>
      <c r="HK56" s="4"/>
      <c r="HL56" s="4"/>
      <c r="HM56" s="4"/>
      <c r="HN56" s="4"/>
      <c r="HO56" s="4"/>
      <c r="HP56" s="4"/>
      <c r="HT56" s="4"/>
      <c r="HU56" s="4"/>
      <c r="HV56" s="4"/>
      <c r="HW56" s="4"/>
      <c r="HX56" s="65"/>
      <c r="HY56" s="4"/>
      <c r="HZ56" s="4"/>
      <c r="IA56" s="4"/>
      <c r="IB56" s="4"/>
      <c r="IC56" s="4"/>
      <c r="ID56" s="4"/>
      <c r="IH56" s="4"/>
      <c r="II56" s="4"/>
      <c r="IJ56" s="4"/>
      <c r="IK56" s="4"/>
      <c r="IL56" s="65"/>
      <c r="IM56" s="4"/>
      <c r="IN56" s="4"/>
      <c r="IO56" s="4"/>
      <c r="IP56" s="4"/>
      <c r="IQ56" s="4"/>
      <c r="IR56" s="4"/>
      <c r="IV56" s="4"/>
      <c r="IW56" s="4"/>
      <c r="IX56" s="4"/>
      <c r="IY56" s="4"/>
      <c r="IZ56" s="65"/>
      <c r="JA56" s="4"/>
      <c r="JB56" s="4"/>
      <c r="JC56" s="4"/>
      <c r="JD56" s="4"/>
      <c r="JE56" s="4"/>
      <c r="JF56" s="4"/>
      <c r="JJ56" s="4"/>
      <c r="JK56" s="4"/>
      <c r="JL56" s="4"/>
      <c r="JM56" s="4"/>
      <c r="JN56" s="65"/>
      <c r="JO56" s="4"/>
      <c r="JP56" s="4"/>
      <c r="JQ56" s="4"/>
      <c r="JR56" s="4"/>
      <c r="JS56" s="4"/>
      <c r="JT56" s="4"/>
      <c r="JX56" s="4"/>
      <c r="JY56" s="4"/>
      <c r="JZ56" s="4"/>
      <c r="KA56" s="4"/>
      <c r="KB56" s="65"/>
      <c r="KC56" s="4"/>
      <c r="KD56" s="4"/>
      <c r="KE56" s="4"/>
      <c r="KF56" s="4"/>
      <c r="KG56" s="4"/>
      <c r="KH56" s="4"/>
      <c r="KL56" s="4"/>
      <c r="KM56" s="4"/>
      <c r="KN56" s="4"/>
      <c r="KO56" s="4"/>
      <c r="KP56" s="65"/>
      <c r="KQ56" s="4"/>
      <c r="KR56" s="4"/>
      <c r="KS56" s="4"/>
      <c r="KT56" s="4"/>
      <c r="KU56" s="4"/>
      <c r="KV56" s="4"/>
      <c r="KZ56" s="4"/>
      <c r="LA56" s="4"/>
      <c r="LB56" s="4"/>
      <c r="LC56" s="4"/>
      <c r="LD56" s="65"/>
      <c r="LE56" s="4"/>
      <c r="LF56" s="4"/>
      <c r="LG56" s="4"/>
      <c r="LH56" s="4"/>
      <c r="LI56" s="4"/>
      <c r="LJ56" s="4"/>
      <c r="LN56" s="4"/>
      <c r="LO56" s="4"/>
      <c r="LP56" s="4"/>
      <c r="LQ56" s="4"/>
      <c r="LR56" s="4"/>
      <c r="LS56" s="4"/>
      <c r="LT56" s="4"/>
      <c r="LU56" s="4"/>
      <c r="LV56" s="4"/>
      <c r="LW56" s="4"/>
      <c r="LX56" s="4"/>
      <c r="MA56" s="4"/>
      <c r="MB56" s="4"/>
      <c r="MC56" s="4"/>
      <c r="MD56" s="4"/>
      <c r="ME56" s="4"/>
      <c r="MF56" s="4"/>
      <c r="MG56" s="4"/>
      <c r="MH56" s="4"/>
      <c r="MI56" s="4"/>
      <c r="MJ56" s="4"/>
      <c r="MK56" s="4"/>
      <c r="ML56" s="4"/>
      <c r="MN56" s="4"/>
      <c r="MO56" s="4"/>
      <c r="MP56" s="4"/>
      <c r="MQ56" s="4"/>
      <c r="MR56" s="65"/>
      <c r="MS56" s="4"/>
      <c r="MT56" s="4"/>
      <c r="MU56" s="4"/>
      <c r="MV56" s="4"/>
      <c r="MW56" s="4"/>
      <c r="MX56" s="4"/>
      <c r="NB56" s="4"/>
      <c r="NC56" s="4"/>
      <c r="ND56" s="4"/>
      <c r="NE56" s="4"/>
      <c r="NF56" s="65"/>
      <c r="NG56" s="4"/>
      <c r="NH56" s="4"/>
      <c r="NI56" s="4"/>
      <c r="NJ56" s="4"/>
      <c r="NK56" s="4"/>
      <c r="NL56" s="4"/>
      <c r="NP56" s="4"/>
      <c r="NQ56" s="4"/>
      <c r="NR56" s="4"/>
      <c r="NS56" s="4"/>
      <c r="NT56" s="4"/>
      <c r="NU56" s="4"/>
      <c r="NV56" s="4"/>
      <c r="NW56" s="4"/>
      <c r="NX56" s="4"/>
      <c r="NY56" s="4"/>
      <c r="NZ56" s="4"/>
      <c r="OC56" s="4"/>
      <c r="OD56" s="4"/>
      <c r="OE56" s="4"/>
      <c r="OF56" s="4"/>
      <c r="OG56" s="4"/>
      <c r="OH56" s="4"/>
      <c r="OI56" s="4"/>
      <c r="OJ56" s="4"/>
      <c r="OK56" s="4"/>
      <c r="OL56" s="4"/>
      <c r="OM56" s="4"/>
      <c r="OP56" s="4"/>
      <c r="OQ56" s="4"/>
      <c r="OR56" s="4"/>
      <c r="OS56" s="4"/>
      <c r="OT56" s="4"/>
      <c r="OU56" s="4"/>
      <c r="OV56" s="4"/>
      <c r="OW56" s="4"/>
      <c r="OX56" s="4"/>
      <c r="OY56" s="4"/>
      <c r="OZ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P56" s="4"/>
      <c r="SQ56" s="4"/>
      <c r="SR56" s="4"/>
      <c r="SS56" s="4"/>
      <c r="ST56" s="4"/>
      <c r="SU56" s="4"/>
      <c r="SV56" s="4"/>
      <c r="SW56" s="4"/>
      <c r="SX56" s="4"/>
      <c r="SY56" s="4"/>
      <c r="SZ56" s="4"/>
      <c r="TC56" s="4"/>
      <c r="TD56" s="4"/>
      <c r="TE56" s="4"/>
      <c r="TF56" s="4"/>
      <c r="TG56" s="4"/>
      <c r="TH56" s="4"/>
      <c r="TI56" s="4"/>
      <c r="TJ56" s="4"/>
      <c r="TK56" s="4"/>
      <c r="TL56" s="4"/>
      <c r="TM56" s="4"/>
      <c r="TP56" s="4"/>
      <c r="TQ56" s="4"/>
      <c r="TR56" s="4"/>
      <c r="TS56" s="4"/>
      <c r="TT56" s="4"/>
      <c r="TU56" s="4"/>
      <c r="TV56" s="4"/>
      <c r="TW56" s="4"/>
      <c r="TX56" s="4"/>
      <c r="TY56" s="4"/>
      <c r="TZ56" s="4"/>
      <c r="UC56" s="4"/>
      <c r="UD56" s="4"/>
      <c r="UE56" s="4"/>
      <c r="UF56" s="4"/>
      <c r="UG56" s="4"/>
      <c r="UH56" s="4"/>
      <c r="UI56" s="4"/>
      <c r="UJ56" s="4"/>
      <c r="UK56" s="4"/>
      <c r="UL56" s="4"/>
      <c r="UM56" s="4"/>
      <c r="UP56" s="4"/>
      <c r="UQ56" s="4"/>
      <c r="UR56" s="4"/>
      <c r="US56" s="4"/>
      <c r="UT56" s="4"/>
      <c r="UU56" s="4"/>
      <c r="UV56" s="4"/>
      <c r="UW56" s="4"/>
      <c r="UX56" s="4"/>
      <c r="UY56" s="4"/>
      <c r="UZ56" s="4"/>
      <c r="VC56" s="4"/>
      <c r="VD56" s="4"/>
      <c r="VE56" s="4"/>
      <c r="VF56" s="4"/>
      <c r="VG56" s="4"/>
      <c r="VH56" s="4"/>
      <c r="VI56" s="4"/>
      <c r="VJ56" s="4"/>
      <c r="VK56" s="4"/>
      <c r="VL56" s="4"/>
      <c r="VM56" s="4"/>
      <c r="VP56" s="4"/>
      <c r="VQ56" s="4"/>
      <c r="VR56" s="4"/>
      <c r="VS56" s="4"/>
      <c r="VT56" s="4"/>
      <c r="VU56" s="4"/>
      <c r="VV56" s="4"/>
      <c r="VW56" s="4"/>
      <c r="VX56" s="4"/>
      <c r="VY56" s="4"/>
      <c r="VZ56" s="4"/>
      <c r="WC56" s="4"/>
      <c r="WD56" s="4"/>
      <c r="WE56" s="4"/>
      <c r="WF56" s="4"/>
      <c r="WG56" s="4"/>
      <c r="WH56" s="4"/>
      <c r="WI56" s="4"/>
      <c r="WJ56" s="4"/>
      <c r="WK56" s="4"/>
      <c r="WL56" s="4"/>
      <c r="WM56" s="4"/>
      <c r="WP56" s="4"/>
      <c r="WQ56" s="4"/>
      <c r="WR56" s="4"/>
      <c r="WS56" s="4"/>
      <c r="WT56" s="4"/>
      <c r="WU56" s="4"/>
      <c r="WV56" s="4"/>
      <c r="WW56" s="4"/>
      <c r="WX56" s="4"/>
      <c r="WY56" s="4"/>
      <c r="WZ56" s="4"/>
      <c r="XC56" s="4"/>
      <c r="XD56" s="4"/>
      <c r="XE56" s="4"/>
      <c r="XF56" s="4"/>
      <c r="XG56" s="4"/>
      <c r="XH56" s="4"/>
      <c r="XI56" s="4"/>
      <c r="XJ56" s="4"/>
      <c r="XK56" s="4"/>
      <c r="XL56" s="4"/>
      <c r="XM56" s="4"/>
      <c r="XP56" s="4"/>
      <c r="XQ56" s="4"/>
      <c r="XR56" s="4"/>
      <c r="XS56" s="4"/>
      <c r="XT56" s="4"/>
      <c r="XU56" s="4"/>
      <c r="XV56" s="4"/>
      <c r="XW56" s="4"/>
      <c r="XX56" s="4"/>
      <c r="XY56" s="4"/>
      <c r="XZ56" s="4"/>
      <c r="YC56" s="4"/>
      <c r="YD56" s="4"/>
      <c r="YE56" s="4"/>
      <c r="YF56" s="4"/>
      <c r="YG56" s="4"/>
      <c r="YH56" s="4"/>
      <c r="YI56" s="4"/>
      <c r="YJ56" s="4"/>
      <c r="YK56" s="4"/>
      <c r="YL56" s="4"/>
      <c r="YM56" s="4"/>
      <c r="YP56" s="4"/>
      <c r="YQ56" s="4"/>
      <c r="YR56" s="4"/>
      <c r="YS56" s="4"/>
      <c r="YT56" s="4"/>
      <c r="YU56" s="4"/>
      <c r="YV56" s="4"/>
      <c r="YW56" s="4"/>
      <c r="YX56" s="4"/>
      <c r="YY56" s="4"/>
      <c r="YZ56" s="4"/>
    </row>
    <row r="57" spans="1:676">
      <c r="B57" s="4"/>
      <c r="C57" s="4"/>
      <c r="D57" s="4"/>
      <c r="E57" s="4"/>
      <c r="F57" s="65"/>
      <c r="G57" s="4"/>
      <c r="H57" s="4"/>
      <c r="I57" s="4"/>
      <c r="J57" s="4"/>
      <c r="K57" s="4"/>
      <c r="L57" s="4"/>
      <c r="M57" s="4"/>
      <c r="N57" s="4"/>
      <c r="R57" s="4"/>
      <c r="S57" s="4"/>
      <c r="T57" s="4"/>
      <c r="U57" s="4"/>
      <c r="V57" s="65"/>
      <c r="W57" s="65"/>
      <c r="X57" s="4"/>
      <c r="Y57" s="4"/>
      <c r="Z57" s="4"/>
      <c r="AA57" s="4"/>
      <c r="AB57" s="4"/>
      <c r="AC57" s="4"/>
      <c r="AD57" s="4"/>
      <c r="AH57" s="4"/>
      <c r="AI57" s="4"/>
      <c r="AJ57" s="4"/>
      <c r="AK57" s="4"/>
      <c r="AL57" s="65"/>
      <c r="AM57" s="65"/>
      <c r="AN57" s="65"/>
      <c r="AO57" s="4"/>
      <c r="AP57" s="4"/>
      <c r="AQ57" s="4"/>
      <c r="AR57" s="4"/>
      <c r="AS57" s="4"/>
      <c r="AT57" s="4"/>
      <c r="AX57" s="4"/>
      <c r="AY57" s="4"/>
      <c r="AZ57" s="4"/>
      <c r="BA57" s="4"/>
      <c r="BB57" s="65"/>
      <c r="BC57" s="65"/>
      <c r="BD57" s="65"/>
      <c r="BE57" s="4"/>
      <c r="BF57" s="4"/>
      <c r="BG57" s="4"/>
      <c r="BH57" s="4"/>
      <c r="BI57" s="4"/>
      <c r="BJ57" s="4"/>
      <c r="BN57" s="4"/>
      <c r="BO57" s="4"/>
      <c r="BP57" s="4"/>
      <c r="BQ57" s="4"/>
      <c r="BR57" s="65"/>
      <c r="BS57" s="4"/>
      <c r="BT57" s="65"/>
      <c r="BU57" s="4"/>
      <c r="BV57" s="4"/>
      <c r="BW57" s="4"/>
      <c r="BX57" s="4"/>
      <c r="BY57" s="4"/>
      <c r="BZ57" s="4"/>
      <c r="CD57" s="4"/>
      <c r="CE57" s="4"/>
      <c r="CF57" s="4"/>
      <c r="CG57" s="4"/>
      <c r="CH57" s="65"/>
      <c r="CI57" s="65"/>
      <c r="CJ57" s="65"/>
      <c r="CK57" s="4"/>
      <c r="CL57" s="4"/>
      <c r="CM57" s="4"/>
      <c r="CN57" s="4"/>
      <c r="CO57" s="4"/>
      <c r="CP57" s="4"/>
      <c r="CT57" s="4"/>
      <c r="CU57" s="4"/>
      <c r="CV57" s="4"/>
      <c r="CW57" s="4"/>
      <c r="CX57" s="65"/>
      <c r="CY57" s="65"/>
      <c r="CZ57" s="65"/>
      <c r="DA57" s="4"/>
      <c r="DB57" s="4"/>
      <c r="DC57" s="4"/>
      <c r="DD57" s="4"/>
      <c r="DE57" s="4"/>
      <c r="DF57" s="4"/>
      <c r="DJ57" s="4"/>
      <c r="DK57" s="4"/>
      <c r="DL57" s="4"/>
      <c r="DM57" s="4"/>
      <c r="DN57" s="65"/>
      <c r="DO57" s="65"/>
      <c r="DP57" s="65"/>
      <c r="DQ57" s="4"/>
      <c r="DR57" s="4"/>
      <c r="DS57" s="4"/>
      <c r="DT57" s="4"/>
      <c r="DU57" s="4"/>
      <c r="DV57" s="4"/>
      <c r="DZ57" s="4"/>
      <c r="EA57" s="4"/>
      <c r="EB57" s="4"/>
      <c r="EC57" s="4"/>
      <c r="ED57" s="65"/>
      <c r="EE57" s="4"/>
      <c r="EF57" s="4"/>
      <c r="EG57" s="4"/>
      <c r="EH57" s="4"/>
      <c r="EI57" s="4"/>
      <c r="EJ57" s="4"/>
      <c r="EN57" s="4"/>
      <c r="EO57" s="4"/>
      <c r="EP57" s="4"/>
      <c r="EQ57" s="4"/>
      <c r="ER57" s="65"/>
      <c r="ES57" s="4"/>
      <c r="ET57" s="4"/>
      <c r="EU57" s="4"/>
      <c r="EV57" s="4"/>
      <c r="EW57" s="4"/>
      <c r="EX57" s="4"/>
      <c r="FB57" s="4"/>
      <c r="FC57" s="4"/>
      <c r="FD57" s="4"/>
      <c r="FE57" s="4"/>
      <c r="FF57" s="65"/>
      <c r="FG57" s="4"/>
      <c r="FH57" s="4"/>
      <c r="FI57" s="4"/>
      <c r="FJ57" s="4"/>
      <c r="FK57" s="4"/>
      <c r="FL57" s="4"/>
      <c r="FP57" s="4"/>
      <c r="FQ57" s="4"/>
      <c r="FR57" s="4"/>
      <c r="FS57" s="4"/>
      <c r="FT57" s="65"/>
      <c r="FU57" s="4"/>
      <c r="FV57" s="4"/>
      <c r="FW57" s="4"/>
      <c r="FX57" s="4"/>
      <c r="FY57" s="4"/>
      <c r="FZ57" s="4"/>
      <c r="GD57" s="4"/>
      <c r="GE57" s="4"/>
      <c r="GF57" s="4"/>
      <c r="GG57" s="4"/>
      <c r="GH57" s="65"/>
      <c r="GI57" s="4"/>
      <c r="GJ57" s="4"/>
      <c r="GK57" s="4"/>
      <c r="GL57" s="4"/>
      <c r="GM57" s="4"/>
      <c r="GN57" s="4"/>
      <c r="GR57" s="4"/>
      <c r="GS57" s="4"/>
      <c r="GT57" s="4"/>
      <c r="GU57" s="4"/>
      <c r="GV57" s="65"/>
      <c r="GW57" s="4"/>
      <c r="GX57" s="4"/>
      <c r="GY57" s="4"/>
      <c r="GZ57" s="4"/>
      <c r="HA57" s="4"/>
      <c r="HB57" s="4"/>
      <c r="HF57" s="4"/>
      <c r="HG57" s="4"/>
      <c r="HH57" s="4"/>
      <c r="HI57" s="4"/>
      <c r="HJ57" s="65"/>
      <c r="HK57" s="4"/>
      <c r="HL57" s="4"/>
      <c r="HM57" s="4"/>
      <c r="HN57" s="4"/>
      <c r="HO57" s="4"/>
      <c r="HP57" s="4"/>
      <c r="HT57" s="4"/>
      <c r="HU57" s="4"/>
      <c r="HV57" s="4"/>
      <c r="HW57" s="4"/>
      <c r="HX57" s="65"/>
      <c r="HY57" s="4"/>
      <c r="HZ57" s="4"/>
      <c r="IA57" s="4"/>
      <c r="IB57" s="4"/>
      <c r="IC57" s="4"/>
      <c r="ID57" s="4"/>
      <c r="IH57" s="4"/>
      <c r="II57" s="4"/>
      <c r="IJ57" s="4"/>
      <c r="IK57" s="4"/>
      <c r="IL57" s="65"/>
      <c r="IM57" s="4"/>
      <c r="IN57" s="4"/>
      <c r="IO57" s="4"/>
      <c r="IP57" s="4"/>
      <c r="IQ57" s="4"/>
      <c r="IR57" s="4"/>
      <c r="IV57" s="4"/>
      <c r="IW57" s="4"/>
      <c r="IX57" s="4"/>
      <c r="IY57" s="4"/>
      <c r="IZ57" s="65"/>
      <c r="JA57" s="4"/>
      <c r="JB57" s="4"/>
      <c r="JC57" s="4"/>
      <c r="JD57" s="4"/>
      <c r="JE57" s="4"/>
      <c r="JF57" s="4"/>
      <c r="JJ57" s="4"/>
      <c r="JK57" s="4"/>
      <c r="JL57" s="4"/>
      <c r="JM57" s="4"/>
      <c r="JN57" s="65"/>
      <c r="JO57" s="4"/>
      <c r="JP57" s="4"/>
      <c r="JQ57" s="4"/>
      <c r="JR57" s="4"/>
      <c r="JS57" s="4"/>
      <c r="JT57" s="4"/>
      <c r="JX57" s="4"/>
      <c r="JY57" s="4"/>
      <c r="JZ57" s="4"/>
      <c r="KA57" s="4"/>
      <c r="KB57" s="65"/>
      <c r="KC57" s="4"/>
      <c r="KD57" s="4"/>
      <c r="KE57" s="4"/>
      <c r="KF57" s="4"/>
      <c r="KG57" s="4"/>
      <c r="KH57" s="4"/>
      <c r="KL57" s="4"/>
      <c r="KM57" s="4"/>
      <c r="KN57" s="4"/>
      <c r="KO57" s="4"/>
      <c r="KP57" s="65"/>
      <c r="KQ57" s="4"/>
      <c r="KR57" s="4"/>
      <c r="KS57" s="4"/>
      <c r="KT57" s="4"/>
      <c r="KU57" s="4"/>
      <c r="KV57" s="4"/>
      <c r="KZ57" s="4"/>
      <c r="LA57" s="4"/>
      <c r="LB57" s="4"/>
      <c r="LC57" s="4"/>
      <c r="LD57" s="65"/>
      <c r="LE57" s="4"/>
      <c r="LF57" s="4"/>
      <c r="LG57" s="4"/>
      <c r="LH57" s="4"/>
      <c r="LI57" s="4"/>
      <c r="LJ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MA57" s="4"/>
      <c r="MB57" s="4"/>
      <c r="MC57" s="4"/>
      <c r="MD57" s="4"/>
      <c r="ME57" s="4"/>
      <c r="MF57" s="4"/>
      <c r="MG57" s="4"/>
      <c r="MH57" s="4"/>
      <c r="MI57" s="4"/>
      <c r="MJ57" s="4"/>
      <c r="MK57" s="4"/>
      <c r="ML57" s="4"/>
      <c r="MN57" s="4"/>
      <c r="MO57" s="4"/>
      <c r="MP57" s="4"/>
      <c r="MQ57" s="4"/>
      <c r="MR57" s="65"/>
      <c r="MS57" s="4"/>
      <c r="MT57" s="4"/>
      <c r="MU57" s="4"/>
      <c r="MV57" s="4"/>
      <c r="MW57" s="4"/>
      <c r="MX57" s="4"/>
      <c r="NB57" s="4"/>
      <c r="NC57" s="4"/>
      <c r="ND57" s="4"/>
      <c r="NE57" s="4"/>
      <c r="NF57" s="65"/>
      <c r="NG57" s="4"/>
      <c r="NH57" s="4"/>
      <c r="NI57" s="4"/>
      <c r="NJ57" s="4"/>
      <c r="NK57" s="4"/>
      <c r="NL57" s="4"/>
      <c r="NP57" s="4"/>
      <c r="NQ57" s="4"/>
      <c r="NR57" s="4"/>
      <c r="NS57" s="4"/>
      <c r="NT57" s="4"/>
      <c r="NU57" s="4"/>
      <c r="NV57" s="4"/>
      <c r="NW57" s="4"/>
      <c r="NX57" s="4"/>
      <c r="NY57" s="4"/>
      <c r="NZ57" s="4"/>
      <c r="OC57" s="4"/>
      <c r="OD57" s="4"/>
      <c r="OE57" s="4"/>
      <c r="OF57" s="4"/>
      <c r="OG57" s="4"/>
      <c r="OH57" s="4"/>
      <c r="OI57" s="4"/>
      <c r="OJ57" s="4"/>
      <c r="OK57" s="4"/>
      <c r="OL57" s="4"/>
      <c r="OM57" s="4"/>
      <c r="OP57" s="4"/>
      <c r="OQ57" s="4"/>
      <c r="OR57" s="4"/>
      <c r="OS57" s="4"/>
      <c r="OT57" s="4"/>
      <c r="OU57" s="4"/>
      <c r="OV57" s="4"/>
      <c r="OW57" s="4"/>
      <c r="OX57" s="4"/>
      <c r="OY57" s="4"/>
      <c r="OZ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P57" s="4"/>
      <c r="SQ57" s="4"/>
      <c r="SR57" s="4"/>
      <c r="SS57" s="4"/>
      <c r="ST57" s="4"/>
      <c r="SU57" s="4"/>
      <c r="SV57" s="4"/>
      <c r="SW57" s="4"/>
      <c r="SX57" s="4"/>
      <c r="SY57" s="4"/>
      <c r="SZ57" s="4"/>
      <c r="TC57" s="4"/>
      <c r="TD57" s="4"/>
      <c r="TE57" s="4"/>
      <c r="TF57" s="4"/>
      <c r="TG57" s="4"/>
      <c r="TH57" s="4"/>
      <c r="TI57" s="4"/>
      <c r="TJ57" s="4"/>
      <c r="TK57" s="4"/>
      <c r="TL57" s="4"/>
      <c r="TM57" s="4"/>
      <c r="TP57" s="4"/>
      <c r="TQ57" s="4"/>
      <c r="TR57" s="4"/>
      <c r="TS57" s="4"/>
      <c r="TT57" s="4"/>
      <c r="TU57" s="4"/>
      <c r="TV57" s="4"/>
      <c r="TW57" s="4"/>
      <c r="TX57" s="4"/>
      <c r="TY57" s="4"/>
      <c r="TZ57" s="4"/>
      <c r="UC57" s="4"/>
      <c r="UD57" s="4"/>
      <c r="UE57" s="4"/>
      <c r="UF57" s="4"/>
      <c r="UG57" s="4"/>
      <c r="UH57" s="4"/>
      <c r="UI57" s="4"/>
      <c r="UJ57" s="4"/>
      <c r="UK57" s="4"/>
      <c r="UL57" s="4"/>
      <c r="UM57" s="4"/>
      <c r="UP57" s="4"/>
      <c r="UQ57" s="4"/>
      <c r="UR57" s="4"/>
      <c r="US57" s="4"/>
      <c r="UT57" s="4"/>
      <c r="UU57" s="4"/>
      <c r="UV57" s="4"/>
      <c r="UW57" s="4"/>
      <c r="UX57" s="4"/>
      <c r="UY57" s="4"/>
      <c r="UZ57" s="4"/>
      <c r="VC57" s="4"/>
      <c r="VD57" s="4"/>
      <c r="VE57" s="4"/>
      <c r="VF57" s="4"/>
      <c r="VG57" s="4"/>
      <c r="VH57" s="4"/>
      <c r="VI57" s="4"/>
      <c r="VJ57" s="4"/>
      <c r="VK57" s="4"/>
      <c r="VL57" s="4"/>
      <c r="VM57" s="4"/>
      <c r="VP57" s="4"/>
      <c r="VQ57" s="4"/>
      <c r="VR57" s="4"/>
      <c r="VS57" s="4"/>
      <c r="VT57" s="4"/>
      <c r="VU57" s="4"/>
      <c r="VV57" s="4"/>
      <c r="VW57" s="4"/>
      <c r="VX57" s="4"/>
      <c r="VY57" s="4"/>
      <c r="VZ57" s="4"/>
      <c r="WC57" s="4"/>
      <c r="WD57" s="4"/>
      <c r="WE57" s="4"/>
      <c r="WF57" s="4"/>
      <c r="WG57" s="4"/>
      <c r="WH57" s="4"/>
      <c r="WI57" s="4"/>
      <c r="WJ57" s="4"/>
      <c r="WK57" s="4"/>
      <c r="WL57" s="4"/>
      <c r="WM57" s="4"/>
      <c r="WP57" s="4"/>
      <c r="WQ57" s="4"/>
      <c r="WR57" s="4"/>
      <c r="WS57" s="4"/>
      <c r="WT57" s="4"/>
      <c r="WU57" s="4"/>
      <c r="WV57" s="4"/>
      <c r="WW57" s="4"/>
      <c r="WX57" s="4"/>
      <c r="WY57" s="4"/>
      <c r="WZ57" s="4"/>
      <c r="XC57" s="4"/>
      <c r="XD57" s="4"/>
      <c r="XE57" s="4"/>
      <c r="XF57" s="4"/>
      <c r="XG57" s="4"/>
      <c r="XH57" s="4"/>
      <c r="XI57" s="4"/>
      <c r="XJ57" s="4"/>
      <c r="XK57" s="4"/>
      <c r="XL57" s="4"/>
      <c r="XM57" s="4"/>
      <c r="XP57" s="4"/>
      <c r="XQ57" s="4"/>
      <c r="XR57" s="4"/>
      <c r="XS57" s="4"/>
      <c r="XT57" s="4"/>
      <c r="XU57" s="4"/>
      <c r="XV57" s="4"/>
      <c r="XW57" s="4"/>
      <c r="XX57" s="4"/>
      <c r="XY57" s="4"/>
      <c r="XZ57" s="4"/>
      <c r="YC57" s="4"/>
      <c r="YD57" s="4"/>
      <c r="YE57" s="4"/>
      <c r="YF57" s="4"/>
      <c r="YG57" s="4"/>
      <c r="YH57" s="4"/>
      <c r="YI57" s="4"/>
      <c r="YJ57" s="4"/>
      <c r="YK57" s="4"/>
      <c r="YL57" s="4"/>
      <c r="YM57" s="4"/>
      <c r="YP57" s="4"/>
      <c r="YQ57" s="4"/>
      <c r="YR57" s="4"/>
      <c r="YS57" s="4"/>
      <c r="YT57" s="4"/>
      <c r="YU57" s="4"/>
      <c r="YV57" s="4"/>
      <c r="YW57" s="4"/>
      <c r="YX57" s="4"/>
      <c r="YY57" s="4"/>
      <c r="YZ57" s="4"/>
    </row>
    <row r="58" spans="1:676">
      <c r="B58" s="4"/>
      <c r="C58" s="4"/>
      <c r="D58" s="4"/>
      <c r="E58" s="4"/>
      <c r="F58" s="65"/>
      <c r="G58" s="4"/>
      <c r="H58" s="4"/>
      <c r="I58" s="4"/>
      <c r="J58" s="4"/>
      <c r="K58" s="4"/>
      <c r="L58" s="4"/>
      <c r="M58" s="4"/>
      <c r="N58" s="4"/>
      <c r="R58" s="4"/>
      <c r="S58" s="4"/>
      <c r="T58" s="4"/>
      <c r="U58" s="4"/>
      <c r="V58" s="65"/>
      <c r="W58" s="65"/>
      <c r="X58" s="4"/>
      <c r="Y58" s="4"/>
      <c r="Z58" s="4"/>
      <c r="AA58" s="4"/>
      <c r="AB58" s="4"/>
      <c r="AC58" s="4"/>
      <c r="AD58" s="4"/>
      <c r="AH58" s="4"/>
      <c r="AI58" s="4"/>
      <c r="AJ58" s="4"/>
      <c r="AK58" s="4"/>
      <c r="AL58" s="65"/>
      <c r="AM58" s="65"/>
      <c r="AN58" s="65"/>
      <c r="AO58" s="4"/>
      <c r="AP58" s="4"/>
      <c r="AQ58" s="4"/>
      <c r="AR58" s="4"/>
      <c r="AS58" s="4"/>
      <c r="AT58" s="4"/>
      <c r="AX58" s="4"/>
      <c r="AY58" s="4"/>
      <c r="AZ58" s="4"/>
      <c r="BA58" s="4"/>
      <c r="BB58" s="65"/>
      <c r="BC58" s="65"/>
      <c r="BD58" s="65"/>
      <c r="BE58" s="4"/>
      <c r="BF58" s="4"/>
      <c r="BG58" s="4"/>
      <c r="BH58" s="4"/>
      <c r="BI58" s="4"/>
      <c r="BJ58" s="4"/>
      <c r="BN58" s="4"/>
      <c r="BO58" s="4"/>
      <c r="BP58" s="4"/>
      <c r="BQ58" s="4"/>
      <c r="BR58" s="65"/>
      <c r="BS58" s="4"/>
      <c r="BT58" s="65"/>
      <c r="BU58" s="4"/>
      <c r="BV58" s="4"/>
      <c r="BW58" s="4"/>
      <c r="BX58" s="4"/>
      <c r="BY58" s="4"/>
      <c r="BZ58" s="4"/>
      <c r="CD58" s="4"/>
      <c r="CE58" s="4"/>
      <c r="CF58" s="4"/>
      <c r="CG58" s="4"/>
      <c r="CH58" s="65"/>
      <c r="CI58" s="65"/>
      <c r="CJ58" s="65"/>
      <c r="CK58" s="4"/>
      <c r="CL58" s="4"/>
      <c r="CM58" s="4"/>
      <c r="CN58" s="4"/>
      <c r="CO58" s="4"/>
      <c r="CP58" s="4"/>
      <c r="CT58" s="4"/>
      <c r="CU58" s="4"/>
      <c r="CV58" s="4"/>
      <c r="CW58" s="4"/>
      <c r="CX58" s="65"/>
      <c r="CY58" s="65"/>
      <c r="CZ58" s="65"/>
      <c r="DA58" s="4"/>
      <c r="DB58" s="4"/>
      <c r="DC58" s="4"/>
      <c r="DD58" s="4"/>
      <c r="DE58" s="4"/>
      <c r="DF58" s="4"/>
      <c r="DJ58" s="4"/>
      <c r="DK58" s="4"/>
      <c r="DL58" s="4"/>
      <c r="DM58" s="4"/>
      <c r="DN58" s="65"/>
      <c r="DO58" s="65"/>
      <c r="DP58" s="65"/>
      <c r="DQ58" s="4"/>
      <c r="DR58" s="4"/>
      <c r="DS58" s="4"/>
      <c r="DT58" s="4"/>
      <c r="DU58" s="4"/>
      <c r="DV58" s="4"/>
      <c r="DZ58" s="4"/>
      <c r="EA58" s="4"/>
      <c r="EB58" s="4"/>
      <c r="EC58" s="4"/>
      <c r="ED58" s="65"/>
      <c r="EE58" s="4"/>
      <c r="EF58" s="4"/>
      <c r="EG58" s="4"/>
      <c r="EH58" s="4"/>
      <c r="EI58" s="4"/>
      <c r="EJ58" s="4"/>
      <c r="EN58" s="4"/>
      <c r="EO58" s="4"/>
      <c r="EP58" s="4"/>
      <c r="EQ58" s="4"/>
      <c r="ER58" s="65"/>
      <c r="ES58" s="4"/>
      <c r="ET58" s="4"/>
      <c r="EU58" s="4"/>
      <c r="EV58" s="4"/>
      <c r="EW58" s="4"/>
      <c r="EX58" s="4"/>
      <c r="FB58" s="4"/>
      <c r="FC58" s="4"/>
      <c r="FD58" s="4"/>
      <c r="FE58" s="4"/>
      <c r="FF58" s="65"/>
      <c r="FG58" s="4"/>
      <c r="FH58" s="4"/>
      <c r="FI58" s="4"/>
      <c r="FJ58" s="4"/>
      <c r="FK58" s="4"/>
      <c r="FL58" s="4"/>
      <c r="FP58" s="4"/>
      <c r="FQ58" s="4"/>
      <c r="FR58" s="4"/>
      <c r="FS58" s="4"/>
      <c r="FT58" s="65"/>
      <c r="FU58" s="4"/>
      <c r="FV58" s="4"/>
      <c r="FW58" s="4"/>
      <c r="FX58" s="4"/>
      <c r="FY58" s="4"/>
      <c r="FZ58" s="4"/>
      <c r="GD58" s="4"/>
      <c r="GE58" s="4"/>
      <c r="GF58" s="4"/>
      <c r="GG58" s="4"/>
      <c r="GH58" s="65"/>
      <c r="GI58" s="4"/>
      <c r="GJ58" s="4"/>
      <c r="GK58" s="4"/>
      <c r="GL58" s="4"/>
      <c r="GM58" s="4"/>
      <c r="GN58" s="4"/>
      <c r="GR58" s="4"/>
      <c r="GS58" s="4"/>
      <c r="GT58" s="4"/>
      <c r="GU58" s="4"/>
      <c r="GV58" s="65"/>
      <c r="GW58" s="4"/>
      <c r="GX58" s="4"/>
      <c r="GY58" s="4"/>
      <c r="GZ58" s="4"/>
      <c r="HA58" s="4"/>
      <c r="HB58" s="4"/>
      <c r="HF58" s="4"/>
      <c r="HG58" s="4"/>
      <c r="HH58" s="4"/>
      <c r="HI58" s="4"/>
      <c r="HJ58" s="65"/>
      <c r="HK58" s="4"/>
      <c r="HL58" s="4"/>
      <c r="HM58" s="4"/>
      <c r="HN58" s="4"/>
      <c r="HO58" s="4"/>
      <c r="HP58" s="4"/>
      <c r="HT58" s="4"/>
      <c r="HU58" s="4"/>
      <c r="HV58" s="4"/>
      <c r="HW58" s="4"/>
      <c r="HX58" s="65"/>
      <c r="HY58" s="4"/>
      <c r="HZ58" s="4"/>
      <c r="IA58" s="4"/>
      <c r="IB58" s="4"/>
      <c r="IC58" s="4"/>
      <c r="ID58" s="4"/>
      <c r="IH58" s="4"/>
      <c r="II58" s="4"/>
      <c r="IJ58" s="4"/>
      <c r="IK58" s="4"/>
      <c r="IL58" s="65"/>
      <c r="IM58" s="4"/>
      <c r="IN58" s="4"/>
      <c r="IO58" s="4"/>
      <c r="IP58" s="4"/>
      <c r="IQ58" s="4"/>
      <c r="IR58" s="4"/>
      <c r="IV58" s="4"/>
      <c r="IW58" s="4"/>
      <c r="IX58" s="4"/>
      <c r="IY58" s="4"/>
      <c r="IZ58" s="65"/>
      <c r="JA58" s="4"/>
      <c r="JB58" s="4"/>
      <c r="JC58" s="4"/>
      <c r="JD58" s="4"/>
      <c r="JE58" s="4"/>
      <c r="JF58" s="4"/>
      <c r="JJ58" s="4"/>
      <c r="JK58" s="4"/>
      <c r="JL58" s="4"/>
      <c r="JM58" s="4"/>
      <c r="JN58" s="65"/>
      <c r="JO58" s="4"/>
      <c r="JP58" s="4"/>
      <c r="JQ58" s="4"/>
      <c r="JR58" s="4"/>
      <c r="JS58" s="4"/>
      <c r="JT58" s="4"/>
      <c r="JX58" s="4"/>
      <c r="JY58" s="4"/>
      <c r="JZ58" s="4"/>
      <c r="KA58" s="4"/>
      <c r="KB58" s="65"/>
      <c r="KC58" s="4"/>
      <c r="KD58" s="4"/>
      <c r="KE58" s="4"/>
      <c r="KF58" s="4"/>
      <c r="KG58" s="4"/>
      <c r="KH58" s="4"/>
      <c r="KL58" s="4"/>
      <c r="KM58" s="4"/>
      <c r="KN58" s="4"/>
      <c r="KO58" s="4"/>
      <c r="KP58" s="65"/>
      <c r="KQ58" s="4"/>
      <c r="KR58" s="4"/>
      <c r="KS58" s="4"/>
      <c r="KT58" s="4"/>
      <c r="KU58" s="4"/>
      <c r="KV58" s="4"/>
      <c r="KZ58" s="4"/>
      <c r="LA58" s="4"/>
      <c r="LB58" s="4"/>
      <c r="LC58" s="4"/>
      <c r="LD58" s="65"/>
      <c r="LE58" s="4"/>
      <c r="LF58" s="4"/>
      <c r="LG58" s="4"/>
      <c r="LH58" s="4"/>
      <c r="LI58" s="4"/>
      <c r="LJ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N58" s="4"/>
      <c r="MO58" s="4"/>
      <c r="MP58" s="4"/>
      <c r="MQ58" s="4"/>
      <c r="MR58" s="65"/>
      <c r="MS58" s="4"/>
      <c r="MT58" s="4"/>
      <c r="MU58" s="4"/>
      <c r="MV58" s="4"/>
      <c r="MW58" s="4"/>
      <c r="MX58" s="4"/>
      <c r="NB58" s="4"/>
      <c r="NC58" s="4"/>
      <c r="ND58" s="4"/>
      <c r="NE58" s="4"/>
      <c r="NF58" s="65"/>
      <c r="NG58" s="4"/>
      <c r="NH58" s="4"/>
      <c r="NI58" s="4"/>
      <c r="NJ58" s="4"/>
      <c r="NK58" s="4"/>
      <c r="NL58" s="4"/>
      <c r="NP58" s="4"/>
      <c r="NQ58" s="4"/>
      <c r="NR58" s="4"/>
      <c r="NS58" s="4"/>
      <c r="NT58" s="4"/>
      <c r="NU58" s="4"/>
      <c r="NV58" s="4"/>
      <c r="NW58" s="4"/>
      <c r="NX58" s="4"/>
      <c r="NY58" s="4"/>
      <c r="NZ58" s="4"/>
      <c r="OC58" s="4"/>
      <c r="OD58" s="4"/>
      <c r="OE58" s="4"/>
      <c r="OF58" s="4"/>
      <c r="OG58" s="4"/>
      <c r="OH58" s="4"/>
      <c r="OI58" s="4"/>
      <c r="OJ58" s="4"/>
      <c r="OK58" s="4"/>
      <c r="OL58" s="4"/>
      <c r="OM58" s="4"/>
      <c r="OP58" s="4"/>
      <c r="OQ58" s="4"/>
      <c r="OR58" s="4"/>
      <c r="OS58" s="4"/>
      <c r="OT58" s="4"/>
      <c r="OU58" s="4"/>
      <c r="OV58" s="4"/>
      <c r="OW58" s="4"/>
      <c r="OX58" s="4"/>
      <c r="OY58" s="4"/>
      <c r="OZ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P58" s="4"/>
      <c r="SQ58" s="4"/>
      <c r="SR58" s="4"/>
      <c r="SS58" s="4"/>
      <c r="ST58" s="4"/>
      <c r="SU58" s="4"/>
      <c r="SV58" s="4"/>
      <c r="SW58" s="4"/>
      <c r="SX58" s="4"/>
      <c r="SY58" s="4"/>
      <c r="SZ58" s="4"/>
      <c r="TC58" s="4"/>
      <c r="TD58" s="4"/>
      <c r="TE58" s="4"/>
      <c r="TF58" s="4"/>
      <c r="TG58" s="4"/>
      <c r="TH58" s="4"/>
      <c r="TI58" s="4"/>
      <c r="TJ58" s="4"/>
      <c r="TK58" s="4"/>
      <c r="TL58" s="4"/>
      <c r="TM58" s="4"/>
      <c r="TP58" s="4"/>
      <c r="TQ58" s="4"/>
      <c r="TR58" s="4"/>
      <c r="TS58" s="4"/>
      <c r="TT58" s="4"/>
      <c r="TU58" s="4"/>
      <c r="TV58" s="4"/>
      <c r="TW58" s="4"/>
      <c r="TX58" s="4"/>
      <c r="TY58" s="4"/>
      <c r="TZ58" s="4"/>
      <c r="UC58" s="4"/>
      <c r="UD58" s="4"/>
      <c r="UE58" s="4"/>
      <c r="UF58" s="4"/>
      <c r="UG58" s="4"/>
      <c r="UH58" s="4"/>
      <c r="UI58" s="4"/>
      <c r="UJ58" s="4"/>
      <c r="UK58" s="4"/>
      <c r="UL58" s="4"/>
      <c r="UM58" s="4"/>
      <c r="UP58" s="4"/>
      <c r="UQ58" s="4"/>
      <c r="UR58" s="4"/>
      <c r="US58" s="4"/>
      <c r="UT58" s="4"/>
      <c r="UU58" s="4"/>
      <c r="UV58" s="4"/>
      <c r="UW58" s="4"/>
      <c r="UX58" s="4"/>
      <c r="UY58" s="4"/>
      <c r="UZ58" s="4"/>
      <c r="VC58" s="4"/>
      <c r="VD58" s="4"/>
      <c r="VE58" s="4"/>
      <c r="VF58" s="4"/>
      <c r="VG58" s="4"/>
      <c r="VH58" s="4"/>
      <c r="VI58" s="4"/>
      <c r="VJ58" s="4"/>
      <c r="VK58" s="4"/>
      <c r="VL58" s="4"/>
      <c r="VM58" s="4"/>
      <c r="VP58" s="4"/>
      <c r="VQ58" s="4"/>
      <c r="VR58" s="4"/>
      <c r="VS58" s="4"/>
      <c r="VT58" s="4"/>
      <c r="VU58" s="4"/>
      <c r="VV58" s="4"/>
      <c r="VW58" s="4"/>
      <c r="VX58" s="4"/>
      <c r="VY58" s="4"/>
      <c r="VZ58" s="4"/>
      <c r="WC58" s="4"/>
      <c r="WD58" s="4"/>
      <c r="WE58" s="4"/>
      <c r="WF58" s="4"/>
      <c r="WG58" s="4"/>
      <c r="WH58" s="4"/>
      <c r="WI58" s="4"/>
      <c r="WJ58" s="4"/>
      <c r="WK58" s="4"/>
      <c r="WL58" s="4"/>
      <c r="WM58" s="4"/>
      <c r="WP58" s="4"/>
      <c r="WQ58" s="4"/>
      <c r="WR58" s="4"/>
      <c r="WS58" s="4"/>
      <c r="WT58" s="4"/>
      <c r="WU58" s="4"/>
      <c r="WV58" s="4"/>
      <c r="WW58" s="4"/>
      <c r="WX58" s="4"/>
      <c r="WY58" s="4"/>
      <c r="WZ58" s="4"/>
      <c r="XC58" s="4"/>
      <c r="XD58" s="4"/>
      <c r="XE58" s="4"/>
      <c r="XF58" s="4"/>
      <c r="XG58" s="4"/>
      <c r="XH58" s="4"/>
      <c r="XI58" s="4"/>
      <c r="XJ58" s="4"/>
      <c r="XK58" s="4"/>
      <c r="XL58" s="4"/>
      <c r="XM58" s="4"/>
      <c r="XP58" s="4"/>
      <c r="XQ58" s="4"/>
      <c r="XR58" s="4"/>
      <c r="XS58" s="4"/>
      <c r="XT58" s="4"/>
      <c r="XU58" s="4"/>
      <c r="XV58" s="4"/>
      <c r="XW58" s="4"/>
      <c r="XX58" s="4"/>
      <c r="XY58" s="4"/>
      <c r="XZ58" s="4"/>
      <c r="YC58" s="4"/>
      <c r="YD58" s="4"/>
      <c r="YE58" s="4"/>
      <c r="YF58" s="4"/>
      <c r="YG58" s="4"/>
      <c r="YH58" s="4"/>
      <c r="YI58" s="4"/>
      <c r="YJ58" s="4"/>
      <c r="YK58" s="4"/>
      <c r="YL58" s="4"/>
      <c r="YM58" s="4"/>
      <c r="YP58" s="4"/>
      <c r="YQ58" s="4"/>
      <c r="YR58" s="4"/>
      <c r="YS58" s="4"/>
      <c r="YT58" s="4"/>
      <c r="YU58" s="4"/>
      <c r="YV58" s="4"/>
      <c r="YW58" s="4"/>
      <c r="YX58" s="4"/>
      <c r="YY58" s="4"/>
      <c r="YZ58" s="4"/>
    </row>
    <row r="59" spans="1:676">
      <c r="B59" s="4"/>
      <c r="C59" s="4"/>
      <c r="D59" s="4"/>
      <c r="E59" s="4"/>
      <c r="F59" s="65"/>
      <c r="G59" s="4"/>
      <c r="H59" s="4"/>
      <c r="I59" s="4"/>
      <c r="J59" s="4"/>
      <c r="K59" s="4"/>
      <c r="L59" s="4"/>
      <c r="M59" s="4"/>
      <c r="N59" s="4"/>
      <c r="R59" s="4"/>
      <c r="S59" s="4"/>
      <c r="T59" s="4"/>
      <c r="U59" s="4"/>
      <c r="V59" s="65"/>
      <c r="W59" s="65"/>
      <c r="X59" s="4"/>
      <c r="Y59" s="4"/>
      <c r="Z59" s="4"/>
      <c r="AA59" s="4"/>
      <c r="AB59" s="4"/>
      <c r="AC59" s="4"/>
      <c r="AD59" s="4"/>
      <c r="AH59" s="4"/>
      <c r="AI59" s="4"/>
      <c r="AJ59" s="4"/>
      <c r="AK59" s="4"/>
      <c r="AL59" s="65"/>
      <c r="AM59" s="65"/>
      <c r="AN59" s="65"/>
      <c r="AO59" s="4"/>
      <c r="AP59" s="4"/>
      <c r="AQ59" s="4"/>
      <c r="AR59" s="4"/>
      <c r="AS59" s="4"/>
      <c r="AT59" s="4"/>
      <c r="AX59" s="4"/>
      <c r="AY59" s="4"/>
      <c r="AZ59" s="4"/>
      <c r="BA59" s="4"/>
      <c r="BB59" s="65"/>
      <c r="BC59" s="65"/>
      <c r="BD59" s="65"/>
      <c r="BE59" s="4"/>
      <c r="BF59" s="4"/>
      <c r="BG59" s="4"/>
      <c r="BH59" s="4"/>
      <c r="BI59" s="4"/>
      <c r="BJ59" s="4"/>
      <c r="BN59" s="4"/>
      <c r="BO59" s="4"/>
      <c r="BP59" s="4"/>
      <c r="BQ59" s="4"/>
      <c r="BR59" s="65"/>
      <c r="BS59" s="4"/>
      <c r="BT59" s="65"/>
      <c r="BU59" s="4"/>
      <c r="BV59" s="4"/>
      <c r="BW59" s="4"/>
      <c r="BX59" s="4"/>
      <c r="BY59" s="4"/>
      <c r="BZ59" s="4"/>
      <c r="CD59" s="4"/>
      <c r="CE59" s="4"/>
      <c r="CF59" s="4"/>
      <c r="CG59" s="4"/>
      <c r="CH59" s="65"/>
      <c r="CI59" s="65"/>
      <c r="CJ59" s="65"/>
      <c r="CK59" s="4"/>
      <c r="CL59" s="4"/>
      <c r="CM59" s="4"/>
      <c r="CN59" s="4"/>
      <c r="CO59" s="4"/>
      <c r="CP59" s="4"/>
      <c r="CT59" s="4"/>
      <c r="CU59" s="4"/>
      <c r="CV59" s="4"/>
      <c r="CW59" s="4"/>
      <c r="CX59" s="65"/>
      <c r="CY59" s="65"/>
      <c r="CZ59" s="65"/>
      <c r="DA59" s="4"/>
      <c r="DB59" s="4"/>
      <c r="DC59" s="4"/>
      <c r="DD59" s="4"/>
      <c r="DE59" s="4"/>
      <c r="DF59" s="4"/>
      <c r="DJ59" s="4"/>
      <c r="DK59" s="4"/>
      <c r="DL59" s="4"/>
      <c r="DM59" s="4"/>
      <c r="DN59" s="65"/>
      <c r="DO59" s="65"/>
      <c r="DP59" s="65"/>
      <c r="DQ59" s="4"/>
      <c r="DR59" s="4"/>
      <c r="DS59" s="4"/>
      <c r="DT59" s="4"/>
      <c r="DU59" s="4"/>
      <c r="DV59" s="4"/>
      <c r="DZ59" s="4"/>
      <c r="EA59" s="4"/>
      <c r="EB59" s="4"/>
      <c r="EC59" s="4"/>
      <c r="ED59" s="65"/>
      <c r="EE59" s="4"/>
      <c r="EF59" s="4"/>
      <c r="EG59" s="4"/>
      <c r="EH59" s="4"/>
      <c r="EI59" s="4"/>
      <c r="EJ59" s="4"/>
      <c r="EN59" s="4"/>
      <c r="EO59" s="4"/>
      <c r="EP59" s="4"/>
      <c r="EQ59" s="4"/>
      <c r="ER59" s="65"/>
      <c r="ES59" s="4"/>
      <c r="ET59" s="4"/>
      <c r="EU59" s="4"/>
      <c r="EV59" s="4"/>
      <c r="EW59" s="4"/>
      <c r="EX59" s="4"/>
      <c r="FB59" s="4"/>
      <c r="FC59" s="4"/>
      <c r="FD59" s="4"/>
      <c r="FE59" s="4"/>
      <c r="FF59" s="65"/>
      <c r="FG59" s="4"/>
      <c r="FH59" s="4"/>
      <c r="FI59" s="4"/>
      <c r="FJ59" s="4"/>
      <c r="FK59" s="4"/>
      <c r="FL59" s="4"/>
      <c r="FP59" s="4"/>
      <c r="FQ59" s="4"/>
      <c r="FR59" s="4"/>
      <c r="FS59" s="4"/>
      <c r="FT59" s="65"/>
      <c r="FU59" s="4"/>
      <c r="FV59" s="4"/>
      <c r="FW59" s="4"/>
      <c r="FX59" s="4"/>
      <c r="FY59" s="4"/>
      <c r="FZ59" s="4"/>
      <c r="GD59" s="4"/>
      <c r="GE59" s="4"/>
      <c r="GF59" s="4"/>
      <c r="GG59" s="4"/>
      <c r="GH59" s="65"/>
      <c r="GI59" s="4"/>
      <c r="GJ59" s="4"/>
      <c r="GK59" s="4"/>
      <c r="GL59" s="4"/>
      <c r="GM59" s="4"/>
      <c r="GN59" s="4"/>
      <c r="GR59" s="4"/>
      <c r="GS59" s="4"/>
      <c r="GT59" s="4"/>
      <c r="GU59" s="4"/>
      <c r="GV59" s="65"/>
      <c r="GW59" s="4"/>
      <c r="GX59" s="4"/>
      <c r="GY59" s="4"/>
      <c r="GZ59" s="4"/>
      <c r="HA59" s="4"/>
      <c r="HB59" s="4"/>
      <c r="HF59" s="4"/>
      <c r="HG59" s="4"/>
      <c r="HH59" s="4"/>
      <c r="HI59" s="4"/>
      <c r="HJ59" s="65"/>
      <c r="HK59" s="4"/>
      <c r="HL59" s="4"/>
      <c r="HM59" s="4"/>
      <c r="HN59" s="4"/>
      <c r="HO59" s="4"/>
      <c r="HP59" s="4"/>
      <c r="HT59" s="4"/>
      <c r="HU59" s="4"/>
      <c r="HV59" s="4"/>
      <c r="HW59" s="4"/>
      <c r="HX59" s="65"/>
      <c r="HY59" s="4"/>
      <c r="HZ59" s="4"/>
      <c r="IA59" s="4"/>
      <c r="IB59" s="4"/>
      <c r="IC59" s="4"/>
      <c r="ID59" s="4"/>
      <c r="IH59" s="4"/>
      <c r="II59" s="4"/>
      <c r="IJ59" s="4"/>
      <c r="IK59" s="4"/>
      <c r="IL59" s="65"/>
      <c r="IM59" s="4"/>
      <c r="IN59" s="4"/>
      <c r="IO59" s="4"/>
      <c r="IP59" s="4"/>
      <c r="IQ59" s="4"/>
      <c r="IR59" s="4"/>
      <c r="IV59" s="4"/>
      <c r="IW59" s="4"/>
      <c r="IX59" s="4"/>
      <c r="IY59" s="4"/>
      <c r="IZ59" s="65"/>
      <c r="JA59" s="4"/>
      <c r="JB59" s="4"/>
      <c r="JC59" s="4"/>
      <c r="JD59" s="4"/>
      <c r="JE59" s="4"/>
      <c r="JF59" s="4"/>
      <c r="JJ59" s="4"/>
      <c r="JK59" s="4"/>
      <c r="JL59" s="4"/>
      <c r="JM59" s="4"/>
      <c r="JN59" s="65"/>
      <c r="JO59" s="4"/>
      <c r="JP59" s="4"/>
      <c r="JQ59" s="4"/>
      <c r="JR59" s="4"/>
      <c r="JS59" s="4"/>
      <c r="JT59" s="4"/>
      <c r="JX59" s="4"/>
      <c r="JY59" s="4"/>
      <c r="JZ59" s="4"/>
      <c r="KA59" s="4"/>
      <c r="KB59" s="65"/>
      <c r="KC59" s="4"/>
      <c r="KD59" s="4"/>
      <c r="KE59" s="4"/>
      <c r="KF59" s="4"/>
      <c r="KG59" s="4"/>
      <c r="KH59" s="4"/>
      <c r="KL59" s="4"/>
      <c r="KM59" s="4"/>
      <c r="KN59" s="4"/>
      <c r="KO59" s="4"/>
      <c r="KP59" s="65"/>
      <c r="KQ59" s="4"/>
      <c r="KR59" s="4"/>
      <c r="KS59" s="4"/>
      <c r="KT59" s="4"/>
      <c r="KU59" s="4"/>
      <c r="KV59" s="4"/>
      <c r="KZ59" s="4"/>
      <c r="LA59" s="4"/>
      <c r="LB59" s="4"/>
      <c r="LC59" s="4"/>
      <c r="LD59" s="65"/>
      <c r="LE59" s="4"/>
      <c r="LF59" s="4"/>
      <c r="LG59" s="4"/>
      <c r="LH59" s="4"/>
      <c r="LI59" s="4"/>
      <c r="LJ59" s="4"/>
      <c r="LN59" s="4"/>
      <c r="LO59" s="4"/>
      <c r="LP59" s="4"/>
      <c r="LQ59" s="4"/>
      <c r="LR59" s="4"/>
      <c r="LS59" s="4"/>
      <c r="LT59" s="4"/>
      <c r="LU59" s="4"/>
      <c r="LV59" s="4"/>
      <c r="LW59" s="4"/>
      <c r="LX59" s="4"/>
      <c r="MA59" s="4"/>
      <c r="MB59" s="4"/>
      <c r="MC59" s="4"/>
      <c r="MD59" s="4"/>
      <c r="ME59" s="4"/>
      <c r="MF59" s="4"/>
      <c r="MG59" s="4"/>
      <c r="MH59" s="4"/>
      <c r="MI59" s="4"/>
      <c r="MJ59" s="4"/>
      <c r="MK59" s="4"/>
      <c r="ML59" s="4"/>
      <c r="MN59" s="4"/>
      <c r="MO59" s="4"/>
      <c r="MP59" s="4"/>
      <c r="MQ59" s="4"/>
      <c r="MR59" s="65"/>
      <c r="MS59" s="4"/>
      <c r="MT59" s="4"/>
      <c r="MU59" s="4"/>
      <c r="MV59" s="4"/>
      <c r="MW59" s="4"/>
      <c r="MX59" s="4"/>
      <c r="NB59" s="4"/>
      <c r="NC59" s="4"/>
      <c r="ND59" s="4"/>
      <c r="NE59" s="4"/>
      <c r="NF59" s="65"/>
      <c r="NG59" s="4"/>
      <c r="NH59" s="4"/>
      <c r="NI59" s="4"/>
      <c r="NJ59" s="4"/>
      <c r="NK59" s="4"/>
      <c r="NL59" s="4"/>
      <c r="NP59" s="4"/>
      <c r="NQ59" s="4"/>
      <c r="NR59" s="4"/>
      <c r="NS59" s="4"/>
      <c r="NT59" s="4"/>
      <c r="NU59" s="4"/>
      <c r="NV59" s="4"/>
      <c r="NW59" s="4"/>
      <c r="NX59" s="4"/>
      <c r="NY59" s="4"/>
      <c r="NZ59" s="4"/>
      <c r="OC59" s="4"/>
      <c r="OD59" s="4"/>
      <c r="OE59" s="4"/>
      <c r="OF59" s="4"/>
      <c r="OG59" s="4"/>
      <c r="OH59" s="4"/>
      <c r="OI59" s="4"/>
      <c r="OJ59" s="4"/>
      <c r="OK59" s="4"/>
      <c r="OL59" s="4"/>
      <c r="OM59" s="4"/>
      <c r="OP59" s="4"/>
      <c r="OQ59" s="4"/>
      <c r="OR59" s="4"/>
      <c r="OS59" s="4"/>
      <c r="OT59" s="4"/>
      <c r="OU59" s="4"/>
      <c r="OV59" s="4"/>
      <c r="OW59" s="4"/>
      <c r="OX59" s="4"/>
      <c r="OY59" s="4"/>
      <c r="OZ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P59" s="4"/>
      <c r="SQ59" s="4"/>
      <c r="SR59" s="4"/>
      <c r="SS59" s="4"/>
      <c r="ST59" s="4"/>
      <c r="SU59" s="4"/>
      <c r="SV59" s="4"/>
      <c r="SW59" s="4"/>
      <c r="SX59" s="4"/>
      <c r="SY59" s="4"/>
      <c r="SZ59" s="4"/>
      <c r="TC59" s="4"/>
      <c r="TD59" s="4"/>
      <c r="TE59" s="4"/>
      <c r="TF59" s="4"/>
      <c r="TG59" s="4"/>
      <c r="TH59" s="4"/>
      <c r="TI59" s="4"/>
      <c r="TJ59" s="4"/>
      <c r="TK59" s="4"/>
      <c r="TL59" s="4"/>
      <c r="TM59" s="4"/>
      <c r="TP59" s="4"/>
      <c r="TQ59" s="4"/>
      <c r="TR59" s="4"/>
      <c r="TS59" s="4"/>
      <c r="TT59" s="4"/>
      <c r="TU59" s="4"/>
      <c r="TV59" s="4"/>
      <c r="TW59" s="4"/>
      <c r="TX59" s="4"/>
      <c r="TY59" s="4"/>
      <c r="TZ59" s="4"/>
      <c r="UC59" s="4"/>
      <c r="UD59" s="4"/>
      <c r="UE59" s="4"/>
      <c r="UF59" s="4"/>
      <c r="UG59" s="4"/>
      <c r="UH59" s="4"/>
      <c r="UI59" s="4"/>
      <c r="UJ59" s="4"/>
      <c r="UK59" s="4"/>
      <c r="UL59" s="4"/>
      <c r="UM59" s="4"/>
      <c r="UP59" s="4"/>
      <c r="UQ59" s="4"/>
      <c r="UR59" s="4"/>
      <c r="US59" s="4"/>
      <c r="UT59" s="4"/>
      <c r="UU59" s="4"/>
      <c r="UV59" s="4"/>
      <c r="UW59" s="4"/>
      <c r="UX59" s="4"/>
      <c r="UY59" s="4"/>
      <c r="UZ59" s="4"/>
      <c r="VC59" s="4"/>
      <c r="VD59" s="4"/>
      <c r="VE59" s="4"/>
      <c r="VF59" s="4"/>
      <c r="VG59" s="4"/>
      <c r="VH59" s="4"/>
      <c r="VI59" s="4"/>
      <c r="VJ59" s="4"/>
      <c r="VK59" s="4"/>
      <c r="VL59" s="4"/>
      <c r="VM59" s="4"/>
      <c r="VP59" s="4"/>
      <c r="VQ59" s="4"/>
      <c r="VR59" s="4"/>
      <c r="VS59" s="4"/>
      <c r="VT59" s="4"/>
      <c r="VU59" s="4"/>
      <c r="VV59" s="4"/>
      <c r="VW59" s="4"/>
      <c r="VX59" s="4"/>
      <c r="VY59" s="4"/>
      <c r="VZ59" s="4"/>
      <c r="WC59" s="4"/>
      <c r="WD59" s="4"/>
      <c r="WE59" s="4"/>
      <c r="WF59" s="4"/>
      <c r="WG59" s="4"/>
      <c r="WH59" s="4"/>
      <c r="WI59" s="4"/>
      <c r="WJ59" s="4"/>
      <c r="WK59" s="4"/>
      <c r="WL59" s="4"/>
      <c r="WM59" s="4"/>
      <c r="WP59" s="4"/>
      <c r="WQ59" s="4"/>
      <c r="WR59" s="4"/>
      <c r="WS59" s="4"/>
      <c r="WT59" s="4"/>
      <c r="WU59" s="4"/>
      <c r="WV59" s="4"/>
      <c r="WW59" s="4"/>
      <c r="WX59" s="4"/>
      <c r="WY59" s="4"/>
      <c r="WZ59" s="4"/>
      <c r="XC59" s="4"/>
      <c r="XD59" s="4"/>
      <c r="XE59" s="4"/>
      <c r="XF59" s="4"/>
      <c r="XG59" s="4"/>
      <c r="XH59" s="4"/>
      <c r="XI59" s="4"/>
      <c r="XJ59" s="4"/>
      <c r="XK59" s="4"/>
      <c r="XL59" s="4"/>
      <c r="XM59" s="4"/>
      <c r="XP59" s="4"/>
      <c r="XQ59" s="4"/>
      <c r="XR59" s="4"/>
      <c r="XS59" s="4"/>
      <c r="XT59" s="4"/>
      <c r="XU59" s="4"/>
      <c r="XV59" s="4"/>
      <c r="XW59" s="4"/>
      <c r="XX59" s="4"/>
      <c r="XY59" s="4"/>
      <c r="XZ59" s="4"/>
      <c r="YC59" s="4"/>
      <c r="YD59" s="4"/>
      <c r="YE59" s="4"/>
      <c r="YF59" s="4"/>
      <c r="YG59" s="4"/>
      <c r="YH59" s="4"/>
      <c r="YI59" s="4"/>
      <c r="YJ59" s="4"/>
      <c r="YK59" s="4"/>
      <c r="YL59" s="4"/>
      <c r="YM59" s="4"/>
      <c r="YP59" s="4"/>
      <c r="YQ59" s="4"/>
      <c r="YR59" s="4"/>
      <c r="YS59" s="4"/>
      <c r="YT59" s="4"/>
      <c r="YU59" s="4"/>
      <c r="YV59" s="4"/>
      <c r="YW59" s="4"/>
      <c r="YX59" s="4"/>
      <c r="YY59" s="4"/>
      <c r="YZ59" s="4"/>
    </row>
    <row r="60" spans="1:676">
      <c r="B60" s="4"/>
      <c r="C60" s="4"/>
      <c r="D60" s="4"/>
      <c r="E60" s="4"/>
      <c r="F60" s="65"/>
      <c r="G60" s="4"/>
      <c r="H60" s="4"/>
      <c r="I60" s="4"/>
      <c r="J60" s="4"/>
      <c r="K60" s="4"/>
      <c r="L60" s="4"/>
      <c r="M60" s="4"/>
      <c r="N60" s="4"/>
      <c r="R60" s="4"/>
      <c r="S60" s="4"/>
      <c r="T60" s="4"/>
      <c r="U60" s="4"/>
      <c r="V60" s="65"/>
      <c r="W60" s="65"/>
      <c r="X60" s="4"/>
      <c r="Y60" s="4"/>
      <c r="Z60" s="4"/>
      <c r="AA60" s="4"/>
      <c r="AB60" s="4"/>
      <c r="AC60" s="4"/>
      <c r="AD60" s="4"/>
      <c r="AH60" s="4"/>
      <c r="AI60" s="4"/>
      <c r="AJ60" s="4"/>
      <c r="AK60" s="4"/>
      <c r="AL60" s="65"/>
      <c r="AM60" s="65"/>
      <c r="AN60" s="65"/>
      <c r="AO60" s="4"/>
      <c r="AP60" s="4"/>
      <c r="AQ60" s="4"/>
      <c r="AR60" s="4"/>
      <c r="AS60" s="4"/>
      <c r="AT60" s="4"/>
      <c r="AX60" s="4"/>
      <c r="AY60" s="4"/>
      <c r="AZ60" s="4"/>
      <c r="BA60" s="4"/>
      <c r="BB60" s="65"/>
      <c r="BC60" s="65"/>
      <c r="BD60" s="65"/>
      <c r="BE60" s="4"/>
      <c r="BF60" s="4"/>
      <c r="BG60" s="4"/>
      <c r="BH60" s="4"/>
      <c r="BI60" s="4"/>
      <c r="BJ60" s="4"/>
      <c r="BN60" s="4"/>
      <c r="BO60" s="4"/>
      <c r="BP60" s="4"/>
      <c r="BQ60" s="4"/>
      <c r="BR60" s="65"/>
      <c r="BS60" s="4"/>
      <c r="BT60" s="65"/>
      <c r="BU60" s="4"/>
      <c r="BV60" s="4"/>
      <c r="BW60" s="4"/>
      <c r="BX60" s="4"/>
      <c r="BY60" s="4"/>
      <c r="BZ60" s="4"/>
      <c r="CD60" s="4"/>
      <c r="CE60" s="4"/>
      <c r="CF60" s="4"/>
      <c r="CG60" s="4"/>
      <c r="CH60" s="65"/>
      <c r="CI60" s="65"/>
      <c r="CJ60" s="65"/>
      <c r="CK60" s="4"/>
      <c r="CL60" s="4"/>
      <c r="CM60" s="4"/>
      <c r="CN60" s="4"/>
      <c r="CO60" s="4"/>
      <c r="CP60" s="4"/>
      <c r="CT60" s="4"/>
      <c r="CU60" s="4"/>
      <c r="CV60" s="4"/>
      <c r="CW60" s="4"/>
      <c r="CX60" s="65"/>
      <c r="CY60" s="65"/>
      <c r="CZ60" s="65"/>
      <c r="DA60" s="4"/>
      <c r="DB60" s="4"/>
      <c r="DC60" s="4"/>
      <c r="DD60" s="4"/>
      <c r="DE60" s="4"/>
      <c r="DF60" s="4"/>
      <c r="DJ60" s="4"/>
      <c r="DK60" s="4"/>
      <c r="DL60" s="4"/>
      <c r="DM60" s="4"/>
      <c r="DN60" s="65"/>
      <c r="DO60" s="65"/>
      <c r="DP60" s="65"/>
      <c r="DQ60" s="4"/>
      <c r="DR60" s="4"/>
      <c r="DS60" s="4"/>
      <c r="DT60" s="4"/>
      <c r="DU60" s="4"/>
      <c r="DV60" s="4"/>
      <c r="DZ60" s="4"/>
      <c r="EA60" s="4"/>
      <c r="EB60" s="4"/>
      <c r="EC60" s="4"/>
      <c r="ED60" s="65"/>
      <c r="EE60" s="4"/>
      <c r="EF60" s="4"/>
      <c r="EG60" s="4"/>
      <c r="EH60" s="4"/>
      <c r="EI60" s="4"/>
      <c r="EJ60" s="4"/>
      <c r="EN60" s="4"/>
      <c r="EO60" s="4"/>
      <c r="EP60" s="4"/>
      <c r="EQ60" s="4"/>
      <c r="ER60" s="65"/>
      <c r="ES60" s="4"/>
      <c r="ET60" s="4"/>
      <c r="EU60" s="4"/>
      <c r="EV60" s="4"/>
      <c r="EW60" s="4"/>
      <c r="EX60" s="4"/>
      <c r="FB60" s="4"/>
      <c r="FC60" s="4"/>
      <c r="FD60" s="4"/>
      <c r="FE60" s="4"/>
      <c r="FF60" s="65"/>
      <c r="FG60" s="4"/>
      <c r="FH60" s="4"/>
      <c r="FI60" s="4"/>
      <c r="FJ60" s="4"/>
      <c r="FK60" s="4"/>
      <c r="FL60" s="4"/>
      <c r="FP60" s="4"/>
      <c r="FQ60" s="4"/>
      <c r="FR60" s="4"/>
      <c r="FS60" s="4"/>
      <c r="FT60" s="65"/>
      <c r="FU60" s="4"/>
      <c r="FV60" s="4"/>
      <c r="FW60" s="4"/>
      <c r="FX60" s="4"/>
      <c r="FY60" s="4"/>
      <c r="FZ60" s="4"/>
      <c r="GD60" s="4"/>
      <c r="GE60" s="4"/>
      <c r="GF60" s="4"/>
      <c r="GG60" s="4"/>
      <c r="GH60" s="65"/>
      <c r="GI60" s="4"/>
      <c r="GJ60" s="4"/>
      <c r="GK60" s="4"/>
      <c r="GL60" s="4"/>
      <c r="GM60" s="4"/>
      <c r="GN60" s="4"/>
      <c r="GR60" s="4"/>
      <c r="GS60" s="4"/>
      <c r="GT60" s="4"/>
      <c r="GU60" s="4"/>
      <c r="GV60" s="65"/>
      <c r="GW60" s="4"/>
      <c r="GX60" s="4"/>
      <c r="GY60" s="4"/>
      <c r="GZ60" s="4"/>
      <c r="HA60" s="4"/>
      <c r="HB60" s="4"/>
      <c r="HF60" s="4"/>
      <c r="HG60" s="4"/>
      <c r="HH60" s="4"/>
      <c r="HI60" s="4"/>
      <c r="HJ60" s="65"/>
      <c r="HK60" s="4"/>
      <c r="HL60" s="4"/>
      <c r="HM60" s="4"/>
      <c r="HN60" s="4"/>
      <c r="HO60" s="4"/>
      <c r="HP60" s="4"/>
      <c r="HT60" s="4"/>
      <c r="HU60" s="4"/>
      <c r="HV60" s="4"/>
      <c r="HW60" s="4"/>
      <c r="HX60" s="65"/>
      <c r="HY60" s="4"/>
      <c r="HZ60" s="4"/>
      <c r="IA60" s="4"/>
      <c r="IB60" s="4"/>
      <c r="IC60" s="4"/>
      <c r="ID60" s="4"/>
      <c r="IH60" s="4"/>
      <c r="II60" s="4"/>
      <c r="IJ60" s="4"/>
      <c r="IK60" s="4"/>
      <c r="IL60" s="65"/>
      <c r="IM60" s="4"/>
      <c r="IN60" s="4"/>
      <c r="IO60" s="4"/>
      <c r="IP60" s="4"/>
      <c r="IQ60" s="4"/>
      <c r="IR60" s="4"/>
      <c r="IV60" s="4"/>
      <c r="IW60" s="4"/>
      <c r="IX60" s="4"/>
      <c r="IY60" s="4"/>
      <c r="IZ60" s="65"/>
      <c r="JA60" s="4"/>
      <c r="JB60" s="4"/>
      <c r="JC60" s="4"/>
      <c r="JD60" s="4"/>
      <c r="JE60" s="4"/>
      <c r="JF60" s="4"/>
      <c r="JJ60" s="4"/>
      <c r="JK60" s="4"/>
      <c r="JL60" s="4"/>
      <c r="JM60" s="4"/>
      <c r="JN60" s="65"/>
      <c r="JO60" s="4"/>
      <c r="JP60" s="4"/>
      <c r="JQ60" s="4"/>
      <c r="JR60" s="4"/>
      <c r="JS60" s="4"/>
      <c r="JT60" s="4"/>
      <c r="JX60" s="4"/>
      <c r="JY60" s="4"/>
      <c r="JZ60" s="4"/>
      <c r="KA60" s="4"/>
      <c r="KB60" s="65"/>
      <c r="KC60" s="4"/>
      <c r="KD60" s="4"/>
      <c r="KE60" s="4"/>
      <c r="KF60" s="4"/>
      <c r="KG60" s="4"/>
      <c r="KH60" s="4"/>
      <c r="KL60" s="4"/>
      <c r="KM60" s="4"/>
      <c r="KN60" s="4"/>
      <c r="KO60" s="4"/>
      <c r="KP60" s="65"/>
      <c r="KQ60" s="4"/>
      <c r="KR60" s="4"/>
      <c r="KS60" s="4"/>
      <c r="KT60" s="4"/>
      <c r="KU60" s="4"/>
      <c r="KV60" s="4"/>
      <c r="KZ60" s="4"/>
      <c r="LA60" s="4"/>
      <c r="LB60" s="4"/>
      <c r="LC60" s="4"/>
      <c r="LD60" s="65"/>
      <c r="LE60" s="4"/>
      <c r="LF60" s="4"/>
      <c r="LG60" s="4"/>
      <c r="LH60" s="4"/>
      <c r="LI60" s="4"/>
      <c r="LJ60" s="4"/>
      <c r="LN60" s="4"/>
      <c r="LO60" s="4"/>
      <c r="LP60" s="4"/>
      <c r="LQ60" s="4"/>
      <c r="LR60" s="4"/>
      <c r="LS60" s="4"/>
      <c r="LT60" s="4"/>
      <c r="LU60" s="4"/>
      <c r="LV60" s="4"/>
      <c r="LW60" s="4"/>
      <c r="LX60" s="4"/>
      <c r="MA60" s="4"/>
      <c r="MB60" s="4"/>
      <c r="MC60" s="4"/>
      <c r="MD60" s="4"/>
      <c r="ME60" s="4"/>
      <c r="MF60" s="4"/>
      <c r="MG60" s="4"/>
      <c r="MH60" s="4"/>
      <c r="MI60" s="4"/>
      <c r="MJ60" s="4"/>
      <c r="MK60" s="4"/>
      <c r="ML60" s="4"/>
      <c r="MN60" s="4"/>
      <c r="MO60" s="4"/>
      <c r="MP60" s="4"/>
      <c r="MQ60" s="4"/>
      <c r="MR60" s="65"/>
      <c r="MS60" s="4"/>
      <c r="MT60" s="4"/>
      <c r="MU60" s="4"/>
      <c r="MV60" s="4"/>
      <c r="MW60" s="4"/>
      <c r="MX60" s="4"/>
      <c r="NB60" s="4"/>
      <c r="NC60" s="4"/>
      <c r="ND60" s="4"/>
      <c r="NE60" s="4"/>
      <c r="NF60" s="65"/>
      <c r="NG60" s="4"/>
      <c r="NH60" s="4"/>
      <c r="NI60" s="4"/>
      <c r="NJ60" s="4"/>
      <c r="NK60" s="4"/>
      <c r="NL60" s="4"/>
      <c r="NP60" s="4"/>
      <c r="NQ60" s="4"/>
      <c r="NR60" s="4"/>
      <c r="NS60" s="4"/>
      <c r="NT60" s="4"/>
      <c r="NU60" s="4"/>
      <c r="NV60" s="4"/>
      <c r="NW60" s="4"/>
      <c r="NX60" s="4"/>
      <c r="NY60" s="4"/>
      <c r="NZ60" s="4"/>
      <c r="OC60" s="4"/>
      <c r="OD60" s="4"/>
      <c r="OE60" s="4"/>
      <c r="OF60" s="4"/>
      <c r="OG60" s="4"/>
      <c r="OH60" s="4"/>
      <c r="OI60" s="4"/>
      <c r="OJ60" s="4"/>
      <c r="OK60" s="4"/>
      <c r="OL60" s="4"/>
      <c r="OM60" s="4"/>
      <c r="OP60" s="4"/>
      <c r="OQ60" s="4"/>
      <c r="OR60" s="4"/>
      <c r="OS60" s="4"/>
      <c r="OT60" s="4"/>
      <c r="OU60" s="4"/>
      <c r="OV60" s="4"/>
      <c r="OW60" s="4"/>
      <c r="OX60" s="4"/>
      <c r="OY60" s="4"/>
      <c r="OZ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P60" s="4"/>
      <c r="SQ60" s="4"/>
      <c r="SR60" s="4"/>
      <c r="SS60" s="4"/>
      <c r="ST60" s="4"/>
      <c r="SU60" s="4"/>
      <c r="SV60" s="4"/>
      <c r="SW60" s="4"/>
      <c r="SX60" s="4"/>
      <c r="SY60" s="4"/>
      <c r="SZ60" s="4"/>
      <c r="TC60" s="4"/>
      <c r="TD60" s="4"/>
      <c r="TE60" s="4"/>
      <c r="TF60" s="4"/>
      <c r="TG60" s="4"/>
      <c r="TH60" s="4"/>
      <c r="TI60" s="4"/>
      <c r="TJ60" s="4"/>
      <c r="TK60" s="4"/>
      <c r="TL60" s="4"/>
      <c r="TM60" s="4"/>
      <c r="TP60" s="4"/>
      <c r="TQ60" s="4"/>
      <c r="TR60" s="4"/>
      <c r="TS60" s="4"/>
      <c r="TT60" s="4"/>
      <c r="TU60" s="4"/>
      <c r="TV60" s="4"/>
      <c r="TW60" s="4"/>
      <c r="TX60" s="4"/>
      <c r="TY60" s="4"/>
      <c r="TZ60" s="4"/>
      <c r="UC60" s="4"/>
      <c r="UD60" s="4"/>
      <c r="UE60" s="4"/>
      <c r="UF60" s="4"/>
      <c r="UG60" s="4"/>
      <c r="UH60" s="4"/>
      <c r="UI60" s="4"/>
      <c r="UJ60" s="4"/>
      <c r="UK60" s="4"/>
      <c r="UL60" s="4"/>
      <c r="UM60" s="4"/>
      <c r="UP60" s="4"/>
      <c r="UQ60" s="4"/>
      <c r="UR60" s="4"/>
      <c r="US60" s="4"/>
      <c r="UT60" s="4"/>
      <c r="UU60" s="4"/>
      <c r="UV60" s="4"/>
      <c r="UW60" s="4"/>
      <c r="UX60" s="4"/>
      <c r="UY60" s="4"/>
      <c r="UZ60" s="4"/>
      <c r="VC60" s="4"/>
      <c r="VD60" s="4"/>
      <c r="VE60" s="4"/>
      <c r="VF60" s="4"/>
      <c r="VG60" s="4"/>
      <c r="VH60" s="4"/>
      <c r="VI60" s="4"/>
      <c r="VJ60" s="4"/>
      <c r="VK60" s="4"/>
      <c r="VL60" s="4"/>
      <c r="VM60" s="4"/>
      <c r="VP60" s="4"/>
      <c r="VQ60" s="4"/>
      <c r="VR60" s="4"/>
      <c r="VS60" s="4"/>
      <c r="VT60" s="4"/>
      <c r="VU60" s="4"/>
      <c r="VV60" s="4"/>
      <c r="VW60" s="4"/>
      <c r="VX60" s="4"/>
      <c r="VY60" s="4"/>
      <c r="VZ60" s="4"/>
      <c r="WC60" s="4"/>
      <c r="WD60" s="4"/>
      <c r="WE60" s="4"/>
      <c r="WF60" s="4"/>
      <c r="WG60" s="4"/>
      <c r="WH60" s="4"/>
      <c r="WI60" s="4"/>
      <c r="WJ60" s="4"/>
      <c r="WK60" s="4"/>
      <c r="WL60" s="4"/>
      <c r="WM60" s="4"/>
      <c r="WP60" s="4"/>
      <c r="WQ60" s="4"/>
      <c r="WR60" s="4"/>
      <c r="WS60" s="4"/>
      <c r="WT60" s="4"/>
      <c r="WU60" s="4"/>
      <c r="WV60" s="4"/>
      <c r="WW60" s="4"/>
      <c r="WX60" s="4"/>
      <c r="WY60" s="4"/>
      <c r="WZ60" s="4"/>
      <c r="XC60" s="4"/>
      <c r="XD60" s="4"/>
      <c r="XE60" s="4"/>
      <c r="XF60" s="4"/>
      <c r="XG60" s="4"/>
      <c r="XH60" s="4"/>
      <c r="XI60" s="4"/>
      <c r="XJ60" s="4"/>
      <c r="XK60" s="4"/>
      <c r="XL60" s="4"/>
      <c r="XM60" s="4"/>
      <c r="XP60" s="4"/>
      <c r="XQ60" s="4"/>
      <c r="XR60" s="4"/>
      <c r="XS60" s="4"/>
      <c r="XT60" s="4"/>
      <c r="XU60" s="4"/>
      <c r="XV60" s="4"/>
      <c r="XW60" s="4"/>
      <c r="XX60" s="4"/>
      <c r="XY60" s="4"/>
      <c r="XZ60" s="4"/>
      <c r="YC60" s="4"/>
      <c r="YD60" s="4"/>
      <c r="YE60" s="4"/>
      <c r="YF60" s="4"/>
      <c r="YG60" s="4"/>
      <c r="YH60" s="4"/>
      <c r="YI60" s="4"/>
      <c r="YJ60" s="4"/>
      <c r="YK60" s="4"/>
      <c r="YL60" s="4"/>
      <c r="YM60" s="4"/>
      <c r="YP60" s="4"/>
      <c r="YQ60" s="4"/>
      <c r="YR60" s="4"/>
      <c r="YS60" s="4"/>
      <c r="YT60" s="4"/>
      <c r="YU60" s="4"/>
      <c r="YV60" s="4"/>
      <c r="YW60" s="4"/>
      <c r="YX60" s="4"/>
      <c r="YY60" s="4"/>
      <c r="YZ60" s="4"/>
    </row>
    <row r="61" spans="1:676">
      <c r="B61" s="4"/>
      <c r="C61" s="4"/>
      <c r="D61" s="4"/>
      <c r="E61" s="4"/>
      <c r="F61" s="65"/>
      <c r="G61" s="4"/>
      <c r="H61" s="4"/>
      <c r="I61" s="4"/>
      <c r="J61" s="4"/>
      <c r="K61" s="4"/>
      <c r="L61" s="4"/>
      <c r="M61" s="4"/>
      <c r="N61" s="4"/>
      <c r="R61" s="4"/>
      <c r="S61" s="4"/>
      <c r="T61" s="4"/>
      <c r="U61" s="4"/>
      <c r="V61" s="65"/>
      <c r="W61" s="65"/>
      <c r="X61" s="4"/>
      <c r="Y61" s="4"/>
      <c r="Z61" s="4"/>
      <c r="AA61" s="4"/>
      <c r="AB61" s="4"/>
      <c r="AC61" s="4"/>
      <c r="AD61" s="4"/>
      <c r="AH61" s="4"/>
      <c r="AI61" s="4"/>
      <c r="AJ61" s="4"/>
      <c r="AK61" s="4"/>
      <c r="AL61" s="65"/>
      <c r="AM61" s="65"/>
      <c r="AN61" s="65"/>
      <c r="AO61" s="4"/>
      <c r="AP61" s="4"/>
      <c r="AQ61" s="4"/>
      <c r="AR61" s="4"/>
      <c r="AS61" s="4"/>
      <c r="AT61" s="4"/>
      <c r="AX61" s="4"/>
      <c r="AY61" s="4"/>
      <c r="AZ61" s="4"/>
      <c r="BA61" s="4"/>
      <c r="BB61" s="65"/>
      <c r="BC61" s="65"/>
      <c r="BD61" s="65"/>
      <c r="BE61" s="4"/>
      <c r="BF61" s="4"/>
      <c r="BG61" s="4"/>
      <c r="BH61" s="4"/>
      <c r="BI61" s="4"/>
      <c r="BJ61" s="4"/>
      <c r="BN61" s="4"/>
      <c r="BO61" s="4"/>
      <c r="BP61" s="4"/>
      <c r="BQ61" s="4"/>
      <c r="BR61" s="65"/>
      <c r="BS61" s="4"/>
      <c r="BT61" s="65"/>
      <c r="BU61" s="4"/>
      <c r="BV61" s="4"/>
      <c r="BW61" s="4"/>
      <c r="BX61" s="4"/>
      <c r="BY61" s="4"/>
      <c r="BZ61" s="4"/>
      <c r="CD61" s="4"/>
      <c r="CE61" s="4"/>
      <c r="CF61" s="4"/>
      <c r="CG61" s="4"/>
      <c r="CH61" s="65"/>
      <c r="CI61" s="65"/>
      <c r="CJ61" s="65"/>
      <c r="CK61" s="4"/>
      <c r="CL61" s="4"/>
      <c r="CM61" s="4"/>
      <c r="CN61" s="4"/>
      <c r="CO61" s="4"/>
      <c r="CP61" s="4"/>
      <c r="CT61" s="4"/>
      <c r="CU61" s="4"/>
      <c r="CV61" s="4"/>
      <c r="CW61" s="4"/>
      <c r="CX61" s="65"/>
      <c r="CY61" s="65"/>
      <c r="CZ61" s="65"/>
      <c r="DA61" s="4"/>
      <c r="DB61" s="4"/>
      <c r="DC61" s="4"/>
      <c r="DD61" s="4"/>
      <c r="DE61" s="4"/>
      <c r="DF61" s="4"/>
      <c r="DJ61" s="4"/>
      <c r="DK61" s="4"/>
      <c r="DL61" s="4"/>
      <c r="DM61" s="4"/>
      <c r="DN61" s="65"/>
      <c r="DO61" s="65"/>
      <c r="DP61" s="65"/>
      <c r="DQ61" s="4"/>
      <c r="DR61" s="4"/>
      <c r="DS61" s="4"/>
      <c r="DT61" s="4"/>
      <c r="DU61" s="4"/>
      <c r="DV61" s="4"/>
      <c r="DZ61" s="4"/>
      <c r="EA61" s="4"/>
      <c r="EB61" s="4"/>
      <c r="EC61" s="4"/>
      <c r="ED61" s="65"/>
      <c r="EE61" s="4"/>
      <c r="EF61" s="4"/>
      <c r="EG61" s="4"/>
      <c r="EH61" s="4"/>
      <c r="EI61" s="4"/>
      <c r="EJ61" s="4"/>
      <c r="EN61" s="4"/>
      <c r="EO61" s="4"/>
      <c r="EP61" s="4"/>
      <c r="EQ61" s="4"/>
      <c r="ER61" s="65"/>
      <c r="ES61" s="4"/>
      <c r="ET61" s="4"/>
      <c r="EU61" s="4"/>
      <c r="EV61" s="4"/>
      <c r="EW61" s="4"/>
      <c r="EX61" s="4"/>
      <c r="FB61" s="4"/>
      <c r="FC61" s="4"/>
      <c r="FD61" s="4"/>
      <c r="FE61" s="4"/>
      <c r="FF61" s="65"/>
      <c r="FG61" s="4"/>
      <c r="FH61" s="4"/>
      <c r="FI61" s="4"/>
      <c r="FJ61" s="4"/>
      <c r="FK61" s="4"/>
      <c r="FL61" s="4"/>
      <c r="FP61" s="4"/>
      <c r="FQ61" s="4"/>
      <c r="FR61" s="4"/>
      <c r="FS61" s="4"/>
      <c r="FT61" s="65"/>
      <c r="FU61" s="4"/>
      <c r="FV61" s="4"/>
      <c r="FW61" s="4"/>
      <c r="FX61" s="4"/>
      <c r="FY61" s="4"/>
      <c r="FZ61" s="4"/>
      <c r="GD61" s="4"/>
      <c r="GE61" s="4"/>
      <c r="GF61" s="4"/>
      <c r="GG61" s="4"/>
      <c r="GH61" s="65"/>
      <c r="GI61" s="4"/>
      <c r="GJ61" s="4"/>
      <c r="GK61" s="4"/>
      <c r="GL61" s="4"/>
      <c r="GM61" s="4"/>
      <c r="GN61" s="4"/>
      <c r="GR61" s="4"/>
      <c r="GS61" s="4"/>
      <c r="GT61" s="4"/>
      <c r="GU61" s="4"/>
      <c r="GV61" s="65"/>
      <c r="GW61" s="4"/>
      <c r="GX61" s="4"/>
      <c r="GY61" s="4"/>
      <c r="GZ61" s="4"/>
      <c r="HA61" s="4"/>
      <c r="HB61" s="4"/>
      <c r="HF61" s="4"/>
      <c r="HG61" s="4"/>
      <c r="HH61" s="4"/>
      <c r="HI61" s="4"/>
      <c r="HJ61" s="65"/>
      <c r="HK61" s="4"/>
      <c r="HL61" s="4"/>
      <c r="HM61" s="4"/>
      <c r="HN61" s="4"/>
      <c r="HO61" s="4"/>
      <c r="HP61" s="4"/>
      <c r="HT61" s="4"/>
      <c r="HU61" s="4"/>
      <c r="HV61" s="4"/>
      <c r="HW61" s="4"/>
      <c r="HX61" s="65"/>
      <c r="HY61" s="4"/>
      <c r="HZ61" s="4"/>
      <c r="IA61" s="4"/>
      <c r="IB61" s="4"/>
      <c r="IC61" s="4"/>
      <c r="ID61" s="4"/>
      <c r="IH61" s="4"/>
      <c r="II61" s="4"/>
      <c r="IJ61" s="4"/>
      <c r="IK61" s="4"/>
      <c r="IL61" s="65"/>
      <c r="IM61" s="4"/>
      <c r="IN61" s="4"/>
      <c r="IO61" s="4"/>
      <c r="IP61" s="4"/>
      <c r="IQ61" s="4"/>
      <c r="IR61" s="4"/>
      <c r="IV61" s="4"/>
      <c r="IW61" s="4"/>
      <c r="IX61" s="4"/>
      <c r="IY61" s="4"/>
      <c r="IZ61" s="65"/>
      <c r="JA61" s="4"/>
      <c r="JB61" s="4"/>
      <c r="JC61" s="4"/>
      <c r="JD61" s="4"/>
      <c r="JE61" s="4"/>
      <c r="JF61" s="4"/>
      <c r="JJ61" s="4"/>
      <c r="JK61" s="4"/>
      <c r="JL61" s="4"/>
      <c r="JM61" s="4"/>
      <c r="JN61" s="65"/>
      <c r="JO61" s="4"/>
      <c r="JP61" s="4"/>
      <c r="JQ61" s="4"/>
      <c r="JR61" s="4"/>
      <c r="JS61" s="4"/>
      <c r="JT61" s="4"/>
      <c r="JX61" s="4"/>
      <c r="JY61" s="4"/>
      <c r="JZ61" s="4"/>
      <c r="KA61" s="4"/>
      <c r="KB61" s="65"/>
      <c r="KC61" s="4"/>
      <c r="KD61" s="4"/>
      <c r="KE61" s="4"/>
      <c r="KF61" s="4"/>
      <c r="KG61" s="4"/>
      <c r="KH61" s="4"/>
      <c r="KL61" s="4"/>
      <c r="KM61" s="4"/>
      <c r="KN61" s="4"/>
      <c r="KO61" s="4"/>
      <c r="KP61" s="65"/>
      <c r="KQ61" s="4"/>
      <c r="KR61" s="4"/>
      <c r="KS61" s="4"/>
      <c r="KT61" s="4"/>
      <c r="KU61" s="4"/>
      <c r="KV61" s="4"/>
      <c r="KZ61" s="4"/>
      <c r="LA61" s="4"/>
      <c r="LB61" s="4"/>
      <c r="LC61" s="4"/>
      <c r="LD61" s="65"/>
      <c r="LE61" s="4"/>
      <c r="LF61" s="4"/>
      <c r="LG61" s="4"/>
      <c r="LH61" s="4"/>
      <c r="LI61" s="4"/>
      <c r="LJ61" s="4"/>
      <c r="LN61" s="4"/>
      <c r="LO61" s="4"/>
      <c r="LP61" s="4"/>
      <c r="LQ61" s="4"/>
      <c r="LR61" s="4"/>
      <c r="LS61" s="4"/>
      <c r="LT61" s="4"/>
      <c r="LU61" s="4"/>
      <c r="LV61" s="4"/>
      <c r="LW61" s="4"/>
      <c r="LX61" s="4"/>
      <c r="MA61" s="4"/>
      <c r="MB61" s="4"/>
      <c r="MC61" s="4"/>
      <c r="MD61" s="4"/>
      <c r="ME61" s="4"/>
      <c r="MF61" s="4"/>
      <c r="MG61" s="4"/>
      <c r="MH61" s="4"/>
      <c r="MI61" s="4"/>
      <c r="MJ61" s="4"/>
      <c r="MK61" s="4"/>
      <c r="ML61" s="4"/>
      <c r="MN61" s="4"/>
      <c r="MO61" s="4"/>
      <c r="MP61" s="4"/>
      <c r="MQ61" s="4"/>
      <c r="MR61" s="65"/>
      <c r="MS61" s="4"/>
      <c r="MT61" s="4"/>
      <c r="MU61" s="4"/>
      <c r="MV61" s="4"/>
      <c r="MW61" s="4"/>
      <c r="MX61" s="4"/>
      <c r="NB61" s="4"/>
      <c r="NC61" s="4"/>
      <c r="ND61" s="4"/>
      <c r="NE61" s="4"/>
      <c r="NF61" s="65"/>
      <c r="NG61" s="4"/>
      <c r="NH61" s="4"/>
      <c r="NI61" s="4"/>
      <c r="NJ61" s="4"/>
      <c r="NK61" s="4"/>
      <c r="NL61" s="4"/>
      <c r="NP61" s="4"/>
      <c r="NQ61" s="4"/>
      <c r="NR61" s="4"/>
      <c r="NS61" s="4"/>
      <c r="NT61" s="4"/>
      <c r="NU61" s="4"/>
      <c r="NV61" s="4"/>
      <c r="NW61" s="4"/>
      <c r="NX61" s="4"/>
      <c r="NY61" s="4"/>
      <c r="NZ61" s="4"/>
      <c r="OC61" s="4"/>
      <c r="OD61" s="4"/>
      <c r="OE61" s="4"/>
      <c r="OF61" s="4"/>
      <c r="OG61" s="4"/>
      <c r="OH61" s="4"/>
      <c r="OI61" s="4"/>
      <c r="OJ61" s="4"/>
      <c r="OK61" s="4"/>
      <c r="OL61" s="4"/>
      <c r="OM61" s="4"/>
      <c r="OP61" s="4"/>
      <c r="OQ61" s="4"/>
      <c r="OR61" s="4"/>
      <c r="OS61" s="4"/>
      <c r="OT61" s="4"/>
      <c r="OU61" s="4"/>
      <c r="OV61" s="4"/>
      <c r="OW61" s="4"/>
      <c r="OX61" s="4"/>
      <c r="OY61" s="4"/>
      <c r="OZ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C61" s="4"/>
      <c r="TD61" s="4"/>
      <c r="TE61" s="4"/>
      <c r="TF61" s="4"/>
      <c r="TG61" s="4"/>
      <c r="TH61" s="4"/>
      <c r="TI61" s="4"/>
      <c r="TJ61" s="4"/>
      <c r="TK61" s="4"/>
      <c r="TL61" s="4"/>
      <c r="TM61" s="4"/>
      <c r="TP61" s="4"/>
      <c r="TQ61" s="4"/>
      <c r="TR61" s="4"/>
      <c r="TS61" s="4"/>
      <c r="TT61" s="4"/>
      <c r="TU61" s="4"/>
      <c r="TV61" s="4"/>
      <c r="TW61" s="4"/>
      <c r="TX61" s="4"/>
      <c r="TY61" s="4"/>
      <c r="TZ61" s="4"/>
      <c r="UC61" s="4"/>
      <c r="UD61" s="4"/>
      <c r="UE61" s="4"/>
      <c r="UF61" s="4"/>
      <c r="UG61" s="4"/>
      <c r="UH61" s="4"/>
      <c r="UI61" s="4"/>
      <c r="UJ61" s="4"/>
      <c r="UK61" s="4"/>
      <c r="UL61" s="4"/>
      <c r="UM61" s="4"/>
      <c r="UP61" s="4"/>
      <c r="UQ61" s="4"/>
      <c r="UR61" s="4"/>
      <c r="US61" s="4"/>
      <c r="UT61" s="4"/>
      <c r="UU61" s="4"/>
      <c r="UV61" s="4"/>
      <c r="UW61" s="4"/>
      <c r="UX61" s="4"/>
      <c r="UY61" s="4"/>
      <c r="UZ61" s="4"/>
      <c r="VC61" s="4"/>
      <c r="VD61" s="4"/>
      <c r="VE61" s="4"/>
      <c r="VF61" s="4"/>
      <c r="VG61" s="4"/>
      <c r="VH61" s="4"/>
      <c r="VI61" s="4"/>
      <c r="VJ61" s="4"/>
      <c r="VK61" s="4"/>
      <c r="VL61" s="4"/>
      <c r="VM61" s="4"/>
      <c r="VP61" s="4"/>
      <c r="VQ61" s="4"/>
      <c r="VR61" s="4"/>
      <c r="VS61" s="4"/>
      <c r="VT61" s="4"/>
      <c r="VU61" s="4"/>
      <c r="VV61" s="4"/>
      <c r="VW61" s="4"/>
      <c r="VX61" s="4"/>
      <c r="VY61" s="4"/>
      <c r="VZ61" s="4"/>
      <c r="WC61" s="4"/>
      <c r="WD61" s="4"/>
      <c r="WE61" s="4"/>
      <c r="WF61" s="4"/>
      <c r="WG61" s="4"/>
      <c r="WH61" s="4"/>
      <c r="WI61" s="4"/>
      <c r="WJ61" s="4"/>
      <c r="WK61" s="4"/>
      <c r="WL61" s="4"/>
      <c r="WM61" s="4"/>
      <c r="WP61" s="4"/>
      <c r="WQ61" s="4"/>
      <c r="WR61" s="4"/>
      <c r="WS61" s="4"/>
      <c r="WT61" s="4"/>
      <c r="WU61" s="4"/>
      <c r="WV61" s="4"/>
      <c r="WW61" s="4"/>
      <c r="WX61" s="4"/>
      <c r="WY61" s="4"/>
      <c r="WZ61" s="4"/>
      <c r="XC61" s="4"/>
      <c r="XD61" s="4"/>
      <c r="XE61" s="4"/>
      <c r="XF61" s="4"/>
      <c r="XG61" s="4"/>
      <c r="XH61" s="4"/>
      <c r="XI61" s="4"/>
      <c r="XJ61" s="4"/>
      <c r="XK61" s="4"/>
      <c r="XL61" s="4"/>
      <c r="XM61" s="4"/>
      <c r="XP61" s="4"/>
      <c r="XQ61" s="4"/>
      <c r="XR61" s="4"/>
      <c r="XS61" s="4"/>
      <c r="XT61" s="4"/>
      <c r="XU61" s="4"/>
      <c r="XV61" s="4"/>
      <c r="XW61" s="4"/>
      <c r="XX61" s="4"/>
      <c r="XY61" s="4"/>
      <c r="XZ61" s="4"/>
      <c r="YC61" s="4"/>
      <c r="YD61" s="4"/>
      <c r="YE61" s="4"/>
      <c r="YF61" s="4"/>
      <c r="YG61" s="4"/>
      <c r="YH61" s="4"/>
      <c r="YI61" s="4"/>
      <c r="YJ61" s="4"/>
      <c r="YK61" s="4"/>
      <c r="YL61" s="4"/>
      <c r="YM61" s="4"/>
      <c r="YP61" s="4"/>
      <c r="YQ61" s="4"/>
      <c r="YR61" s="4"/>
      <c r="YS61" s="4"/>
      <c r="YT61" s="4"/>
      <c r="YU61" s="4"/>
      <c r="YV61" s="4"/>
      <c r="YW61" s="4"/>
      <c r="YX61" s="4"/>
      <c r="YY61" s="4"/>
      <c r="YZ61" s="4"/>
    </row>
    <row r="62" spans="1:676">
      <c r="B62" s="4"/>
      <c r="C62" s="4"/>
      <c r="D62" s="4"/>
      <c r="E62" s="4"/>
      <c r="F62" s="65"/>
      <c r="G62" s="4"/>
      <c r="H62" s="4"/>
      <c r="I62" s="4"/>
      <c r="J62" s="4"/>
      <c r="K62" s="4"/>
      <c r="L62" s="4"/>
      <c r="M62" s="4"/>
      <c r="N62" s="4"/>
      <c r="R62" s="4"/>
      <c r="S62" s="4"/>
      <c r="T62" s="4"/>
      <c r="U62" s="4"/>
      <c r="V62" s="65"/>
      <c r="W62" s="65"/>
      <c r="X62" s="4"/>
      <c r="Y62" s="4"/>
      <c r="Z62" s="4"/>
      <c r="AA62" s="4"/>
      <c r="AB62" s="4"/>
      <c r="AC62" s="4"/>
      <c r="AD62" s="4"/>
      <c r="AH62" s="4"/>
      <c r="AI62" s="4"/>
      <c r="AJ62" s="4"/>
      <c r="AK62" s="4"/>
      <c r="AL62" s="65"/>
      <c r="AM62" s="65"/>
      <c r="AN62" s="65"/>
      <c r="AO62" s="4"/>
      <c r="AP62" s="4"/>
      <c r="AQ62" s="4"/>
      <c r="AR62" s="4"/>
      <c r="AS62" s="4"/>
      <c r="AT62" s="4"/>
      <c r="AX62" s="4"/>
      <c r="AY62" s="4"/>
      <c r="AZ62" s="4"/>
      <c r="BA62" s="4"/>
      <c r="BB62" s="65"/>
      <c r="BC62" s="65"/>
      <c r="BD62" s="65"/>
      <c r="BE62" s="4"/>
      <c r="BF62" s="4"/>
      <c r="BG62" s="4"/>
      <c r="BH62" s="4"/>
      <c r="BI62" s="4"/>
      <c r="BJ62" s="4"/>
      <c r="BN62" s="4"/>
      <c r="BO62" s="4"/>
      <c r="BP62" s="4"/>
      <c r="BQ62" s="4"/>
      <c r="BR62" s="65"/>
      <c r="BS62" s="4"/>
      <c r="BT62" s="65"/>
      <c r="BU62" s="4"/>
      <c r="BV62" s="4"/>
      <c r="BW62" s="4"/>
      <c r="BX62" s="4"/>
      <c r="BY62" s="4"/>
      <c r="BZ62" s="4"/>
      <c r="CD62" s="4"/>
      <c r="CE62" s="4"/>
      <c r="CF62" s="4"/>
      <c r="CG62" s="4"/>
      <c r="CH62" s="65"/>
      <c r="CI62" s="65"/>
      <c r="CJ62" s="65"/>
      <c r="CK62" s="4"/>
      <c r="CL62" s="4"/>
      <c r="CM62" s="4"/>
      <c r="CN62" s="4"/>
      <c r="CO62" s="4"/>
      <c r="CP62" s="4"/>
      <c r="CT62" s="4"/>
      <c r="CU62" s="4"/>
      <c r="CV62" s="4"/>
      <c r="CW62" s="4"/>
      <c r="CX62" s="65"/>
      <c r="CY62" s="65"/>
      <c r="CZ62" s="65"/>
      <c r="DA62" s="4"/>
      <c r="DB62" s="4"/>
      <c r="DC62" s="4"/>
      <c r="DD62" s="4"/>
      <c r="DE62" s="4"/>
      <c r="DF62" s="4"/>
      <c r="DJ62" s="4"/>
      <c r="DK62" s="4"/>
      <c r="DL62" s="4"/>
      <c r="DM62" s="4"/>
      <c r="DN62" s="65"/>
      <c r="DO62" s="65"/>
      <c r="DP62" s="65"/>
      <c r="DQ62" s="4"/>
      <c r="DR62" s="4"/>
      <c r="DS62" s="4"/>
      <c r="DT62" s="4"/>
      <c r="DU62" s="4"/>
      <c r="DV62" s="4"/>
      <c r="DZ62" s="4"/>
      <c r="EA62" s="4"/>
      <c r="EB62" s="4"/>
      <c r="EC62" s="4"/>
      <c r="ED62" s="65"/>
      <c r="EE62" s="4"/>
      <c r="EF62" s="4"/>
      <c r="EG62" s="4"/>
      <c r="EH62" s="4"/>
      <c r="EI62" s="4"/>
      <c r="EJ62" s="4"/>
      <c r="EN62" s="4"/>
      <c r="EO62" s="4"/>
      <c r="EP62" s="4"/>
      <c r="EQ62" s="4"/>
      <c r="ER62" s="65"/>
      <c r="ES62" s="4"/>
      <c r="ET62" s="4"/>
      <c r="EU62" s="4"/>
      <c r="EV62" s="4"/>
      <c r="EW62" s="4"/>
      <c r="EX62" s="4"/>
      <c r="FB62" s="4"/>
      <c r="FC62" s="4"/>
      <c r="FD62" s="4"/>
      <c r="FE62" s="4"/>
      <c r="FF62" s="65"/>
      <c r="FG62" s="4"/>
      <c r="FH62" s="4"/>
      <c r="FI62" s="4"/>
      <c r="FJ62" s="4"/>
      <c r="FK62" s="4"/>
      <c r="FL62" s="4"/>
      <c r="FP62" s="4"/>
      <c r="FQ62" s="4"/>
      <c r="FR62" s="4"/>
      <c r="FS62" s="4"/>
      <c r="FT62" s="65"/>
      <c r="FU62" s="4"/>
      <c r="FV62" s="4"/>
      <c r="FW62" s="4"/>
      <c r="FX62" s="4"/>
      <c r="FY62" s="4"/>
      <c r="FZ62" s="4"/>
      <c r="GD62" s="4"/>
      <c r="GE62" s="4"/>
      <c r="GF62" s="4"/>
      <c r="GG62" s="4"/>
      <c r="GH62" s="65"/>
      <c r="GI62" s="4"/>
      <c r="GJ62" s="4"/>
      <c r="GK62" s="4"/>
      <c r="GL62" s="4"/>
      <c r="GM62" s="4"/>
      <c r="GN62" s="4"/>
      <c r="GR62" s="4"/>
      <c r="GS62" s="4"/>
      <c r="GT62" s="4"/>
      <c r="GU62" s="4"/>
      <c r="GV62" s="65"/>
      <c r="GW62" s="4"/>
      <c r="GX62" s="4"/>
      <c r="GY62" s="4"/>
      <c r="GZ62" s="4"/>
      <c r="HA62" s="4"/>
      <c r="HB62" s="4"/>
      <c r="HF62" s="4"/>
      <c r="HG62" s="4"/>
      <c r="HH62" s="4"/>
      <c r="HI62" s="4"/>
      <c r="HJ62" s="65"/>
      <c r="HK62" s="4"/>
      <c r="HL62" s="4"/>
      <c r="HM62" s="4"/>
      <c r="HN62" s="4"/>
      <c r="HO62" s="4"/>
      <c r="HP62" s="4"/>
      <c r="HT62" s="4"/>
      <c r="HU62" s="4"/>
      <c r="HV62" s="4"/>
      <c r="HW62" s="4"/>
      <c r="HX62" s="65"/>
      <c r="HY62" s="4"/>
      <c r="HZ62" s="4"/>
      <c r="IA62" s="4"/>
      <c r="IB62" s="4"/>
      <c r="IC62" s="4"/>
      <c r="ID62" s="4"/>
      <c r="IH62" s="4"/>
      <c r="II62" s="4"/>
      <c r="IJ62" s="4"/>
      <c r="IK62" s="4"/>
      <c r="IL62" s="65"/>
      <c r="IM62" s="4"/>
      <c r="IN62" s="4"/>
      <c r="IO62" s="4"/>
      <c r="IP62" s="4"/>
      <c r="IQ62" s="4"/>
      <c r="IR62" s="4"/>
      <c r="IV62" s="4"/>
      <c r="IW62" s="4"/>
      <c r="IX62" s="4"/>
      <c r="IY62" s="4"/>
      <c r="IZ62" s="65"/>
      <c r="JA62" s="4"/>
      <c r="JB62" s="4"/>
      <c r="JC62" s="4"/>
      <c r="JD62" s="4"/>
      <c r="JE62" s="4"/>
      <c r="JF62" s="4"/>
      <c r="JJ62" s="4"/>
      <c r="JK62" s="4"/>
      <c r="JL62" s="4"/>
      <c r="JM62" s="4"/>
      <c r="JN62" s="65"/>
      <c r="JO62" s="4"/>
      <c r="JP62" s="4"/>
      <c r="JQ62" s="4"/>
      <c r="JR62" s="4"/>
      <c r="JS62" s="4"/>
      <c r="JT62" s="4"/>
      <c r="JX62" s="4"/>
      <c r="JY62" s="4"/>
      <c r="JZ62" s="4"/>
      <c r="KA62" s="4"/>
      <c r="KB62" s="65"/>
      <c r="KC62" s="4"/>
      <c r="KD62" s="4"/>
      <c r="KE62" s="4"/>
      <c r="KF62" s="4"/>
      <c r="KG62" s="4"/>
      <c r="KH62" s="4"/>
      <c r="KL62" s="4"/>
      <c r="KM62" s="4"/>
      <c r="KN62" s="4"/>
      <c r="KO62" s="4"/>
      <c r="KP62" s="65"/>
      <c r="KQ62" s="4"/>
      <c r="KR62" s="4"/>
      <c r="KS62" s="4"/>
      <c r="KT62" s="4"/>
      <c r="KU62" s="4"/>
      <c r="KV62" s="4"/>
      <c r="KZ62" s="4"/>
      <c r="LA62" s="4"/>
      <c r="LB62" s="4"/>
      <c r="LC62" s="4"/>
      <c r="LD62" s="65"/>
      <c r="LE62" s="4"/>
      <c r="LF62" s="4"/>
      <c r="LG62" s="4"/>
      <c r="LH62" s="4"/>
      <c r="LI62" s="4"/>
      <c r="LJ62" s="4"/>
      <c r="LN62" s="4"/>
      <c r="LO62" s="4"/>
      <c r="LP62" s="4"/>
      <c r="LQ62" s="4"/>
      <c r="LR62" s="4"/>
      <c r="LS62" s="4"/>
      <c r="LT62" s="4"/>
      <c r="LU62" s="4"/>
      <c r="LV62" s="4"/>
      <c r="LW62" s="4"/>
      <c r="LX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N62" s="4"/>
      <c r="MO62" s="4"/>
      <c r="MP62" s="4"/>
      <c r="MQ62" s="4"/>
      <c r="MR62" s="65"/>
      <c r="MS62" s="4"/>
      <c r="MT62" s="4"/>
      <c r="MU62" s="4"/>
      <c r="MV62" s="4"/>
      <c r="MW62" s="4"/>
      <c r="MX62" s="4"/>
      <c r="NB62" s="4"/>
      <c r="NC62" s="4"/>
      <c r="ND62" s="4"/>
      <c r="NE62" s="4"/>
      <c r="NF62" s="65"/>
      <c r="NG62" s="4"/>
      <c r="NH62" s="4"/>
      <c r="NI62" s="4"/>
      <c r="NJ62" s="4"/>
      <c r="NK62" s="4"/>
      <c r="NL62" s="4"/>
      <c r="NP62" s="4"/>
      <c r="NQ62" s="4"/>
      <c r="NR62" s="4"/>
      <c r="NS62" s="4"/>
      <c r="NT62" s="4"/>
      <c r="NU62" s="4"/>
      <c r="NV62" s="4"/>
      <c r="NW62" s="4"/>
      <c r="NX62" s="4"/>
      <c r="NY62" s="4"/>
      <c r="NZ62" s="4"/>
      <c r="OC62" s="4"/>
      <c r="OD62" s="4"/>
      <c r="OE62" s="4"/>
      <c r="OF62" s="4"/>
      <c r="OG62" s="4"/>
      <c r="OH62" s="4"/>
      <c r="OI62" s="4"/>
      <c r="OJ62" s="4"/>
      <c r="OK62" s="4"/>
      <c r="OL62" s="4"/>
      <c r="OM62" s="4"/>
      <c r="OP62" s="4"/>
      <c r="OQ62" s="4"/>
      <c r="OR62" s="4"/>
      <c r="OS62" s="4"/>
      <c r="OT62" s="4"/>
      <c r="OU62" s="4"/>
      <c r="OV62" s="4"/>
      <c r="OW62" s="4"/>
      <c r="OX62" s="4"/>
      <c r="OY62" s="4"/>
      <c r="OZ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C62" s="4"/>
      <c r="TD62" s="4"/>
      <c r="TE62" s="4"/>
      <c r="TF62" s="4"/>
      <c r="TG62" s="4"/>
      <c r="TH62" s="4"/>
      <c r="TI62" s="4"/>
      <c r="TJ62" s="4"/>
      <c r="TK62" s="4"/>
      <c r="TL62" s="4"/>
      <c r="TM62" s="4"/>
      <c r="TP62" s="4"/>
      <c r="TQ62" s="4"/>
      <c r="TR62" s="4"/>
      <c r="TS62" s="4"/>
      <c r="TT62" s="4"/>
      <c r="TU62" s="4"/>
      <c r="TV62" s="4"/>
      <c r="TW62" s="4"/>
      <c r="TX62" s="4"/>
      <c r="TY62" s="4"/>
      <c r="TZ62" s="4"/>
      <c r="UC62" s="4"/>
      <c r="UD62" s="4"/>
      <c r="UE62" s="4"/>
      <c r="UF62" s="4"/>
      <c r="UG62" s="4"/>
      <c r="UH62" s="4"/>
      <c r="UI62" s="4"/>
      <c r="UJ62" s="4"/>
      <c r="UK62" s="4"/>
      <c r="UL62" s="4"/>
      <c r="UM62" s="4"/>
      <c r="UP62" s="4"/>
      <c r="UQ62" s="4"/>
      <c r="UR62" s="4"/>
      <c r="US62" s="4"/>
      <c r="UT62" s="4"/>
      <c r="UU62" s="4"/>
      <c r="UV62" s="4"/>
      <c r="UW62" s="4"/>
      <c r="UX62" s="4"/>
      <c r="UY62" s="4"/>
      <c r="UZ62" s="4"/>
      <c r="VC62" s="4"/>
      <c r="VD62" s="4"/>
      <c r="VE62" s="4"/>
      <c r="VF62" s="4"/>
      <c r="VG62" s="4"/>
      <c r="VH62" s="4"/>
      <c r="VI62" s="4"/>
      <c r="VJ62" s="4"/>
      <c r="VK62" s="4"/>
      <c r="VL62" s="4"/>
      <c r="VM62" s="4"/>
      <c r="VP62" s="4"/>
      <c r="VQ62" s="4"/>
      <c r="VR62" s="4"/>
      <c r="VS62" s="4"/>
      <c r="VT62" s="4"/>
      <c r="VU62" s="4"/>
      <c r="VV62" s="4"/>
      <c r="VW62" s="4"/>
      <c r="VX62" s="4"/>
      <c r="VY62" s="4"/>
      <c r="VZ62" s="4"/>
      <c r="WC62" s="4"/>
      <c r="WD62" s="4"/>
      <c r="WE62" s="4"/>
      <c r="WF62" s="4"/>
      <c r="WG62" s="4"/>
      <c r="WH62" s="4"/>
      <c r="WI62" s="4"/>
      <c r="WJ62" s="4"/>
      <c r="WK62" s="4"/>
      <c r="WL62" s="4"/>
      <c r="WM62" s="4"/>
      <c r="WP62" s="4"/>
      <c r="WQ62" s="4"/>
      <c r="WR62" s="4"/>
      <c r="WS62" s="4"/>
      <c r="WT62" s="4"/>
      <c r="WU62" s="4"/>
      <c r="WV62" s="4"/>
      <c r="WW62" s="4"/>
      <c r="WX62" s="4"/>
      <c r="WY62" s="4"/>
      <c r="WZ62" s="4"/>
      <c r="XC62" s="4"/>
      <c r="XD62" s="4"/>
      <c r="XE62" s="4"/>
      <c r="XF62" s="4"/>
      <c r="XG62" s="4"/>
      <c r="XH62" s="4"/>
      <c r="XI62" s="4"/>
      <c r="XJ62" s="4"/>
      <c r="XK62" s="4"/>
      <c r="XL62" s="4"/>
      <c r="XM62" s="4"/>
      <c r="XP62" s="4"/>
      <c r="XQ62" s="4"/>
      <c r="XR62" s="4"/>
      <c r="XS62" s="4"/>
      <c r="XT62" s="4"/>
      <c r="XU62" s="4"/>
      <c r="XV62" s="4"/>
      <c r="XW62" s="4"/>
      <c r="XX62" s="4"/>
      <c r="XY62" s="4"/>
      <c r="XZ62" s="4"/>
      <c r="YC62" s="4"/>
      <c r="YD62" s="4"/>
      <c r="YE62" s="4"/>
      <c r="YF62" s="4"/>
      <c r="YG62" s="4"/>
      <c r="YH62" s="4"/>
      <c r="YI62" s="4"/>
      <c r="YJ62" s="4"/>
      <c r="YK62" s="4"/>
      <c r="YL62" s="4"/>
      <c r="YM62" s="4"/>
      <c r="YP62" s="4"/>
      <c r="YQ62" s="4"/>
      <c r="YR62" s="4"/>
      <c r="YS62" s="4"/>
      <c r="YT62" s="4"/>
      <c r="YU62" s="4"/>
      <c r="YV62" s="4"/>
      <c r="YW62" s="4"/>
      <c r="YX62" s="4"/>
      <c r="YY62" s="4"/>
      <c r="YZ62" s="4"/>
    </row>
    <row r="63" spans="1:676">
      <c r="B63" s="4"/>
      <c r="C63" s="4"/>
      <c r="D63" s="4"/>
      <c r="E63" s="4"/>
      <c r="F63" s="65"/>
      <c r="G63" s="4"/>
      <c r="H63" s="4"/>
      <c r="I63" s="4"/>
      <c r="J63" s="4"/>
      <c r="K63" s="4"/>
      <c r="L63" s="4"/>
      <c r="M63" s="4"/>
      <c r="N63" s="4"/>
      <c r="R63" s="4"/>
      <c r="S63" s="4"/>
      <c r="T63" s="4"/>
      <c r="U63" s="4"/>
      <c r="V63" s="65"/>
      <c r="W63" s="65"/>
      <c r="X63" s="4"/>
      <c r="Y63" s="4"/>
      <c r="Z63" s="4"/>
      <c r="AA63" s="4"/>
      <c r="AB63" s="4"/>
      <c r="AC63" s="4"/>
      <c r="AD63" s="4"/>
      <c r="AH63" s="4"/>
      <c r="AI63" s="4"/>
      <c r="AJ63" s="4"/>
      <c r="AK63" s="4"/>
      <c r="AL63" s="65"/>
      <c r="AM63" s="65"/>
      <c r="AN63" s="65"/>
      <c r="AO63" s="4"/>
      <c r="AP63" s="4"/>
      <c r="AQ63" s="4"/>
      <c r="AR63" s="4"/>
      <c r="AS63" s="4"/>
      <c r="AT63" s="4"/>
      <c r="AX63" s="4"/>
      <c r="AY63" s="4"/>
      <c r="AZ63" s="4"/>
      <c r="BA63" s="4"/>
      <c r="BB63" s="65"/>
      <c r="BC63" s="65"/>
      <c r="BD63" s="65"/>
      <c r="BE63" s="4"/>
      <c r="BF63" s="4"/>
      <c r="BG63" s="4"/>
      <c r="BH63" s="4"/>
      <c r="BI63" s="4"/>
      <c r="BJ63" s="4"/>
      <c r="BN63" s="4"/>
      <c r="BO63" s="4"/>
      <c r="BP63" s="4"/>
      <c r="BQ63" s="4"/>
      <c r="BR63" s="65"/>
      <c r="BS63" s="4"/>
      <c r="BT63" s="65"/>
      <c r="BU63" s="4"/>
      <c r="BV63" s="4"/>
      <c r="BW63" s="4"/>
      <c r="BX63" s="4"/>
      <c r="BY63" s="4"/>
      <c r="BZ63" s="4"/>
      <c r="CD63" s="4"/>
      <c r="CE63" s="4"/>
      <c r="CF63" s="4"/>
      <c r="CG63" s="4"/>
      <c r="CH63" s="65"/>
      <c r="CI63" s="65"/>
      <c r="CJ63" s="65"/>
      <c r="CK63" s="4"/>
      <c r="CL63" s="4"/>
      <c r="CM63" s="4"/>
      <c r="CN63" s="4"/>
      <c r="CO63" s="4"/>
      <c r="CP63" s="4"/>
      <c r="CT63" s="4"/>
      <c r="CU63" s="4"/>
      <c r="CV63" s="4"/>
      <c r="CW63" s="4"/>
      <c r="CX63" s="65"/>
      <c r="CY63" s="65"/>
      <c r="CZ63" s="65"/>
      <c r="DA63" s="4"/>
      <c r="DB63" s="4"/>
      <c r="DC63" s="4"/>
      <c r="DD63" s="4"/>
      <c r="DE63" s="4"/>
      <c r="DF63" s="4"/>
      <c r="DJ63" s="4"/>
      <c r="DK63" s="4"/>
      <c r="DL63" s="4"/>
      <c r="DM63" s="4"/>
      <c r="DN63" s="65"/>
      <c r="DO63" s="65"/>
      <c r="DP63" s="65"/>
      <c r="DQ63" s="4"/>
      <c r="DR63" s="4"/>
      <c r="DS63" s="4"/>
      <c r="DT63" s="4"/>
      <c r="DU63" s="4"/>
      <c r="DV63" s="4"/>
      <c r="DZ63" s="4"/>
      <c r="EA63" s="4"/>
      <c r="EB63" s="4"/>
      <c r="EC63" s="4"/>
      <c r="ED63" s="65"/>
      <c r="EE63" s="4"/>
      <c r="EF63" s="4"/>
      <c r="EG63" s="4"/>
      <c r="EH63" s="4"/>
      <c r="EI63" s="4"/>
      <c r="EJ63" s="4"/>
      <c r="EN63" s="4"/>
      <c r="EO63" s="4"/>
      <c r="EP63" s="4"/>
      <c r="EQ63" s="4"/>
      <c r="ER63" s="65"/>
      <c r="ES63" s="4"/>
      <c r="ET63" s="4"/>
      <c r="EU63" s="4"/>
      <c r="EV63" s="4"/>
      <c r="EW63" s="4"/>
      <c r="EX63" s="4"/>
      <c r="FB63" s="4"/>
      <c r="FC63" s="4"/>
      <c r="FD63" s="4"/>
      <c r="FE63" s="4"/>
      <c r="FF63" s="65"/>
      <c r="FG63" s="4"/>
      <c r="FH63" s="4"/>
      <c r="FI63" s="4"/>
      <c r="FJ63" s="4"/>
      <c r="FK63" s="4"/>
      <c r="FL63" s="4"/>
      <c r="FP63" s="4"/>
      <c r="FQ63" s="4"/>
      <c r="FR63" s="4"/>
      <c r="FS63" s="4"/>
      <c r="FT63" s="65"/>
      <c r="FU63" s="4"/>
      <c r="FV63" s="4"/>
      <c r="FW63" s="4"/>
      <c r="FX63" s="4"/>
      <c r="FY63" s="4"/>
      <c r="FZ63" s="4"/>
      <c r="GD63" s="4"/>
      <c r="GE63" s="4"/>
      <c r="GF63" s="4"/>
      <c r="GG63" s="4"/>
      <c r="GH63" s="65"/>
      <c r="GI63" s="4"/>
      <c r="GJ63" s="4"/>
      <c r="GK63" s="4"/>
      <c r="GL63" s="4"/>
      <c r="GM63" s="4"/>
      <c r="GN63" s="4"/>
      <c r="GR63" s="4"/>
      <c r="GS63" s="4"/>
      <c r="GT63" s="4"/>
      <c r="GU63" s="4"/>
      <c r="GV63" s="65"/>
      <c r="GW63" s="4"/>
      <c r="GX63" s="4"/>
      <c r="GY63" s="4"/>
      <c r="GZ63" s="4"/>
      <c r="HA63" s="4"/>
      <c r="HB63" s="4"/>
      <c r="HF63" s="4"/>
      <c r="HG63" s="4"/>
      <c r="HH63" s="4"/>
      <c r="HI63" s="4"/>
      <c r="HJ63" s="65"/>
      <c r="HK63" s="4"/>
      <c r="HL63" s="4"/>
      <c r="HM63" s="4"/>
      <c r="HN63" s="4"/>
      <c r="HO63" s="4"/>
      <c r="HP63" s="4"/>
      <c r="HT63" s="4"/>
      <c r="HU63" s="4"/>
      <c r="HV63" s="4"/>
      <c r="HW63" s="4"/>
      <c r="HX63" s="65"/>
      <c r="HY63" s="4"/>
      <c r="HZ63" s="4"/>
      <c r="IA63" s="4"/>
      <c r="IB63" s="4"/>
      <c r="IC63" s="4"/>
      <c r="ID63" s="4"/>
      <c r="IH63" s="4"/>
      <c r="II63" s="4"/>
      <c r="IJ63" s="4"/>
      <c r="IK63" s="4"/>
      <c r="IL63" s="65"/>
      <c r="IM63" s="4"/>
      <c r="IN63" s="4"/>
      <c r="IO63" s="4"/>
      <c r="IP63" s="4"/>
      <c r="IQ63" s="4"/>
      <c r="IR63" s="4"/>
      <c r="IV63" s="4"/>
      <c r="IW63" s="4"/>
      <c r="IX63" s="4"/>
      <c r="IY63" s="4"/>
      <c r="IZ63" s="65"/>
      <c r="JA63" s="4"/>
      <c r="JB63" s="4"/>
      <c r="JC63" s="4"/>
      <c r="JD63" s="4"/>
      <c r="JE63" s="4"/>
      <c r="JF63" s="4"/>
      <c r="JJ63" s="4"/>
      <c r="JK63" s="4"/>
      <c r="JL63" s="4"/>
      <c r="JM63" s="4"/>
      <c r="JN63" s="65"/>
      <c r="JO63" s="4"/>
      <c r="JP63" s="4"/>
      <c r="JQ63" s="4"/>
      <c r="JR63" s="4"/>
      <c r="JS63" s="4"/>
      <c r="JT63" s="4"/>
      <c r="JX63" s="4"/>
      <c r="JY63" s="4"/>
      <c r="JZ63" s="4"/>
      <c r="KA63" s="4"/>
      <c r="KB63" s="65"/>
      <c r="KC63" s="4"/>
      <c r="KD63" s="4"/>
      <c r="KE63" s="4"/>
      <c r="KF63" s="4"/>
      <c r="KG63" s="4"/>
      <c r="KH63" s="4"/>
      <c r="KL63" s="4"/>
      <c r="KM63" s="4"/>
      <c r="KN63" s="4"/>
      <c r="KO63" s="4"/>
      <c r="KP63" s="65"/>
      <c r="KQ63" s="4"/>
      <c r="KR63" s="4"/>
      <c r="KS63" s="4"/>
      <c r="KT63" s="4"/>
      <c r="KU63" s="4"/>
      <c r="KV63" s="4"/>
      <c r="KZ63" s="4"/>
      <c r="LA63" s="4"/>
      <c r="LB63" s="4"/>
      <c r="LC63" s="4"/>
      <c r="LD63" s="65"/>
      <c r="LE63" s="4"/>
      <c r="LF63" s="4"/>
      <c r="LG63" s="4"/>
      <c r="LH63" s="4"/>
      <c r="LI63" s="4"/>
      <c r="LJ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N63" s="4"/>
      <c r="MO63" s="4"/>
      <c r="MP63" s="4"/>
      <c r="MQ63" s="4"/>
      <c r="MR63" s="65"/>
      <c r="MS63" s="4"/>
      <c r="MT63" s="4"/>
      <c r="MU63" s="4"/>
      <c r="MV63" s="4"/>
      <c r="MW63" s="4"/>
      <c r="MX63" s="4"/>
      <c r="NB63" s="4"/>
      <c r="NC63" s="4"/>
      <c r="ND63" s="4"/>
      <c r="NE63" s="4"/>
      <c r="NF63" s="65"/>
      <c r="NG63" s="4"/>
      <c r="NH63" s="4"/>
      <c r="NI63" s="4"/>
      <c r="NJ63" s="4"/>
      <c r="NK63" s="4"/>
      <c r="NL63" s="4"/>
      <c r="NP63" s="4"/>
      <c r="NQ63" s="4"/>
      <c r="NR63" s="4"/>
      <c r="NS63" s="4"/>
      <c r="NT63" s="4"/>
      <c r="NU63" s="4"/>
      <c r="NV63" s="4"/>
      <c r="NW63" s="4"/>
      <c r="NX63" s="4"/>
      <c r="NY63" s="4"/>
      <c r="NZ63" s="4"/>
      <c r="OC63" s="4"/>
      <c r="OD63" s="4"/>
      <c r="OE63" s="4"/>
      <c r="OF63" s="4"/>
      <c r="OG63" s="4"/>
      <c r="OH63" s="4"/>
      <c r="OI63" s="4"/>
      <c r="OJ63" s="4"/>
      <c r="OK63" s="4"/>
      <c r="OL63" s="4"/>
      <c r="OM63" s="4"/>
      <c r="OP63" s="4"/>
      <c r="OQ63" s="4"/>
      <c r="OR63" s="4"/>
      <c r="OS63" s="4"/>
      <c r="OT63" s="4"/>
      <c r="OU63" s="4"/>
      <c r="OV63" s="4"/>
      <c r="OW63" s="4"/>
      <c r="OX63" s="4"/>
      <c r="OY63" s="4"/>
      <c r="OZ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P63" s="4"/>
      <c r="SQ63" s="4"/>
      <c r="SR63" s="4"/>
      <c r="SS63" s="4"/>
      <c r="ST63" s="4"/>
      <c r="SU63" s="4"/>
      <c r="SV63" s="4"/>
      <c r="SW63" s="4"/>
      <c r="SX63" s="4"/>
      <c r="SY63" s="4"/>
      <c r="SZ63" s="4"/>
      <c r="TC63" s="4"/>
      <c r="TD63" s="4"/>
      <c r="TE63" s="4"/>
      <c r="TF63" s="4"/>
      <c r="TG63" s="4"/>
      <c r="TH63" s="4"/>
      <c r="TI63" s="4"/>
      <c r="TJ63" s="4"/>
      <c r="TK63" s="4"/>
      <c r="TL63" s="4"/>
      <c r="TM63" s="4"/>
      <c r="TP63" s="4"/>
      <c r="TQ63" s="4"/>
      <c r="TR63" s="4"/>
      <c r="TS63" s="4"/>
      <c r="TT63" s="4"/>
      <c r="TU63" s="4"/>
      <c r="TV63" s="4"/>
      <c r="TW63" s="4"/>
      <c r="TX63" s="4"/>
      <c r="TY63" s="4"/>
      <c r="TZ63" s="4"/>
      <c r="UC63" s="4"/>
      <c r="UD63" s="4"/>
      <c r="UE63" s="4"/>
      <c r="UF63" s="4"/>
      <c r="UG63" s="4"/>
      <c r="UH63" s="4"/>
      <c r="UI63" s="4"/>
      <c r="UJ63" s="4"/>
      <c r="UK63" s="4"/>
      <c r="UL63" s="4"/>
      <c r="UM63" s="4"/>
      <c r="UP63" s="4"/>
      <c r="UQ63" s="4"/>
      <c r="UR63" s="4"/>
      <c r="US63" s="4"/>
      <c r="UT63" s="4"/>
      <c r="UU63" s="4"/>
      <c r="UV63" s="4"/>
      <c r="UW63" s="4"/>
      <c r="UX63" s="4"/>
      <c r="UY63" s="4"/>
      <c r="UZ63" s="4"/>
      <c r="VC63" s="4"/>
      <c r="VD63" s="4"/>
      <c r="VE63" s="4"/>
      <c r="VF63" s="4"/>
      <c r="VG63" s="4"/>
      <c r="VH63" s="4"/>
      <c r="VI63" s="4"/>
      <c r="VJ63" s="4"/>
      <c r="VK63" s="4"/>
      <c r="VL63" s="4"/>
      <c r="VM63" s="4"/>
      <c r="VP63" s="4"/>
      <c r="VQ63" s="4"/>
      <c r="VR63" s="4"/>
      <c r="VS63" s="4"/>
      <c r="VT63" s="4"/>
      <c r="VU63" s="4"/>
      <c r="VV63" s="4"/>
      <c r="VW63" s="4"/>
      <c r="VX63" s="4"/>
      <c r="VY63" s="4"/>
      <c r="VZ63" s="4"/>
      <c r="WC63" s="4"/>
      <c r="WD63" s="4"/>
      <c r="WE63" s="4"/>
      <c r="WF63" s="4"/>
      <c r="WG63" s="4"/>
      <c r="WH63" s="4"/>
      <c r="WI63" s="4"/>
      <c r="WJ63" s="4"/>
      <c r="WK63" s="4"/>
      <c r="WL63" s="4"/>
      <c r="WM63" s="4"/>
      <c r="WP63" s="4"/>
      <c r="WQ63" s="4"/>
      <c r="WR63" s="4"/>
      <c r="WS63" s="4"/>
      <c r="WT63" s="4"/>
      <c r="WU63" s="4"/>
      <c r="WV63" s="4"/>
      <c r="WW63" s="4"/>
      <c r="WX63" s="4"/>
      <c r="WY63" s="4"/>
      <c r="WZ63" s="4"/>
      <c r="XC63" s="4"/>
      <c r="XD63" s="4"/>
      <c r="XE63" s="4"/>
      <c r="XF63" s="4"/>
      <c r="XG63" s="4"/>
      <c r="XH63" s="4"/>
      <c r="XI63" s="4"/>
      <c r="XJ63" s="4"/>
      <c r="XK63" s="4"/>
      <c r="XL63" s="4"/>
      <c r="XM63" s="4"/>
      <c r="XP63" s="4"/>
      <c r="XQ63" s="4"/>
      <c r="XR63" s="4"/>
      <c r="XS63" s="4"/>
      <c r="XT63" s="4"/>
      <c r="XU63" s="4"/>
      <c r="XV63" s="4"/>
      <c r="XW63" s="4"/>
      <c r="XX63" s="4"/>
      <c r="XY63" s="4"/>
      <c r="XZ63" s="4"/>
      <c r="YC63" s="4"/>
      <c r="YD63" s="4"/>
      <c r="YE63" s="4"/>
      <c r="YF63" s="4"/>
      <c r="YG63" s="4"/>
      <c r="YH63" s="4"/>
      <c r="YI63" s="4"/>
      <c r="YJ63" s="4"/>
      <c r="YK63" s="4"/>
      <c r="YL63" s="4"/>
      <c r="YM63" s="4"/>
      <c r="YP63" s="4"/>
      <c r="YQ63" s="4"/>
      <c r="YR63" s="4"/>
      <c r="YS63" s="4"/>
      <c r="YT63" s="4"/>
      <c r="YU63" s="4"/>
      <c r="YV63" s="4"/>
      <c r="YW63" s="4"/>
      <c r="YX63" s="4"/>
      <c r="YY63" s="4"/>
      <c r="YZ63" s="4"/>
    </row>
    <row r="64" spans="1:676">
      <c r="B64" s="4"/>
      <c r="C64" s="4"/>
      <c r="D64" s="4"/>
      <c r="E64" s="4"/>
      <c r="F64" s="65"/>
      <c r="G64" s="4"/>
      <c r="H64" s="4"/>
      <c r="I64" s="4"/>
      <c r="J64" s="4"/>
      <c r="K64" s="4"/>
      <c r="L64" s="4"/>
      <c r="M64" s="4"/>
      <c r="N64" s="4"/>
      <c r="R64" s="4"/>
      <c r="S64" s="4"/>
      <c r="T64" s="4"/>
      <c r="U64" s="4"/>
      <c r="V64" s="65"/>
      <c r="W64" s="65"/>
      <c r="X64" s="4"/>
      <c r="Y64" s="4"/>
      <c r="Z64" s="4"/>
      <c r="AA64" s="4"/>
      <c r="AB64" s="4"/>
      <c r="AC64" s="4"/>
      <c r="AD64" s="4"/>
      <c r="AH64" s="4"/>
      <c r="AI64" s="4"/>
      <c r="AJ64" s="4"/>
      <c r="AK64" s="4"/>
      <c r="AL64" s="65"/>
      <c r="AM64" s="65"/>
      <c r="AN64" s="65"/>
      <c r="AO64" s="4"/>
      <c r="AP64" s="4"/>
      <c r="AQ64" s="4"/>
      <c r="AR64" s="4"/>
      <c r="AS64" s="4"/>
      <c r="AT64" s="4"/>
      <c r="AX64" s="4"/>
      <c r="AY64" s="4"/>
      <c r="AZ64" s="4"/>
      <c r="BA64" s="4"/>
      <c r="BB64" s="65"/>
      <c r="BC64" s="65"/>
      <c r="BD64" s="65"/>
      <c r="BE64" s="4"/>
      <c r="BF64" s="4"/>
      <c r="BG64" s="4"/>
      <c r="BH64" s="4"/>
      <c r="BI64" s="4"/>
      <c r="BJ64" s="4"/>
      <c r="BN64" s="4"/>
      <c r="BO64" s="4"/>
      <c r="BP64" s="4"/>
      <c r="BQ64" s="4"/>
      <c r="BR64" s="65"/>
      <c r="BS64" s="4"/>
      <c r="BT64" s="65"/>
      <c r="BU64" s="4"/>
      <c r="BV64" s="4"/>
      <c r="BW64" s="4"/>
      <c r="BX64" s="4"/>
      <c r="BY64" s="4"/>
      <c r="BZ64" s="4"/>
      <c r="CD64" s="4"/>
      <c r="CE64" s="4"/>
      <c r="CF64" s="4"/>
      <c r="CG64" s="4"/>
      <c r="CH64" s="65"/>
      <c r="CI64" s="65"/>
      <c r="CJ64" s="65"/>
      <c r="CK64" s="4"/>
      <c r="CL64" s="4"/>
      <c r="CM64" s="4"/>
      <c r="CN64" s="4"/>
      <c r="CO64" s="4"/>
      <c r="CP64" s="4"/>
      <c r="CT64" s="4"/>
      <c r="CU64" s="4"/>
      <c r="CV64" s="4"/>
      <c r="CW64" s="4"/>
      <c r="CX64" s="65"/>
      <c r="CY64" s="65"/>
      <c r="CZ64" s="65"/>
      <c r="DA64" s="4"/>
      <c r="DB64" s="4"/>
      <c r="DC64" s="4"/>
      <c r="DD64" s="4"/>
      <c r="DE64" s="4"/>
      <c r="DF64" s="4"/>
      <c r="DJ64" s="4"/>
      <c r="DK64" s="4"/>
      <c r="DL64" s="4"/>
      <c r="DM64" s="4"/>
      <c r="DN64" s="65"/>
      <c r="DO64" s="65"/>
      <c r="DP64" s="65"/>
      <c r="DQ64" s="4"/>
      <c r="DR64" s="4"/>
      <c r="DS64" s="4"/>
      <c r="DT64" s="4"/>
      <c r="DU64" s="4"/>
      <c r="DV64" s="4"/>
      <c r="DZ64" s="4"/>
      <c r="EA64" s="4"/>
      <c r="EB64" s="4"/>
      <c r="EC64" s="4"/>
      <c r="ED64" s="65"/>
      <c r="EE64" s="4"/>
      <c r="EF64" s="4"/>
      <c r="EG64" s="4"/>
      <c r="EH64" s="4"/>
      <c r="EI64" s="4"/>
      <c r="EJ64" s="4"/>
      <c r="EN64" s="4"/>
      <c r="EO64" s="4"/>
      <c r="EP64" s="4"/>
      <c r="EQ64" s="4"/>
      <c r="ER64" s="65"/>
      <c r="ES64" s="4"/>
      <c r="ET64" s="4"/>
      <c r="EU64" s="4"/>
      <c r="EV64" s="4"/>
      <c r="EW64" s="4"/>
      <c r="EX64" s="4"/>
      <c r="FB64" s="4"/>
      <c r="FC64" s="4"/>
      <c r="FD64" s="4"/>
      <c r="FE64" s="4"/>
      <c r="FF64" s="65"/>
      <c r="FG64" s="4"/>
      <c r="FH64" s="4"/>
      <c r="FI64" s="4"/>
      <c r="FJ64" s="4"/>
      <c r="FK64" s="4"/>
      <c r="FL64" s="4"/>
      <c r="FP64" s="4"/>
      <c r="FQ64" s="4"/>
      <c r="FR64" s="4"/>
      <c r="FS64" s="4"/>
      <c r="FT64" s="65"/>
      <c r="FU64" s="4"/>
      <c r="FV64" s="4"/>
      <c r="FW64" s="4"/>
      <c r="FX64" s="4"/>
      <c r="FY64" s="4"/>
      <c r="FZ64" s="4"/>
      <c r="GD64" s="4"/>
      <c r="GE64" s="4"/>
      <c r="GF64" s="4"/>
      <c r="GG64" s="4"/>
      <c r="GH64" s="65"/>
      <c r="GI64" s="4"/>
      <c r="GJ64" s="4"/>
      <c r="GK64" s="4"/>
      <c r="GL64" s="4"/>
      <c r="GM64" s="4"/>
      <c r="GN64" s="4"/>
      <c r="GR64" s="4"/>
      <c r="GS64" s="4"/>
      <c r="GT64" s="4"/>
      <c r="GU64" s="4"/>
      <c r="GV64" s="65"/>
      <c r="GW64" s="4"/>
      <c r="GX64" s="4"/>
      <c r="GY64" s="4"/>
      <c r="GZ64" s="4"/>
      <c r="HA64" s="4"/>
      <c r="HB64" s="4"/>
      <c r="HF64" s="4"/>
      <c r="HG64" s="4"/>
      <c r="HH64" s="4"/>
      <c r="HI64" s="4"/>
      <c r="HJ64" s="65"/>
      <c r="HK64" s="4"/>
      <c r="HL64" s="4"/>
      <c r="HM64" s="4"/>
      <c r="HN64" s="4"/>
      <c r="HO64" s="4"/>
      <c r="HP64" s="4"/>
      <c r="HT64" s="4"/>
      <c r="HU64" s="4"/>
      <c r="HV64" s="4"/>
      <c r="HW64" s="4"/>
      <c r="HX64" s="65"/>
      <c r="HY64" s="4"/>
      <c r="HZ64" s="4"/>
      <c r="IA64" s="4"/>
      <c r="IB64" s="4"/>
      <c r="IC64" s="4"/>
      <c r="ID64" s="4"/>
      <c r="IH64" s="4"/>
      <c r="II64" s="4"/>
      <c r="IJ64" s="4"/>
      <c r="IK64" s="4"/>
      <c r="IL64" s="65"/>
      <c r="IM64" s="4"/>
      <c r="IN64" s="4"/>
      <c r="IO64" s="4"/>
      <c r="IP64" s="4"/>
      <c r="IQ64" s="4"/>
      <c r="IR64" s="4"/>
      <c r="IV64" s="4"/>
      <c r="IW64" s="4"/>
      <c r="IX64" s="4"/>
      <c r="IY64" s="4"/>
      <c r="IZ64" s="65"/>
      <c r="JA64" s="4"/>
      <c r="JB64" s="4"/>
      <c r="JC64" s="4"/>
      <c r="JD64" s="4"/>
      <c r="JE64" s="4"/>
      <c r="JF64" s="4"/>
      <c r="JJ64" s="4"/>
      <c r="JK64" s="4"/>
      <c r="JL64" s="4"/>
      <c r="JM64" s="4"/>
      <c r="JN64" s="65"/>
      <c r="JO64" s="4"/>
      <c r="JP64" s="4"/>
      <c r="JQ64" s="4"/>
      <c r="JR64" s="4"/>
      <c r="JS64" s="4"/>
      <c r="JT64" s="4"/>
      <c r="JX64" s="4"/>
      <c r="JY64" s="4"/>
      <c r="JZ64" s="4"/>
      <c r="KA64" s="4"/>
      <c r="KB64" s="65"/>
      <c r="KC64" s="4"/>
      <c r="KD64" s="4"/>
      <c r="KE64" s="4"/>
      <c r="KF64" s="4"/>
      <c r="KG64" s="4"/>
      <c r="KH64" s="4"/>
      <c r="KL64" s="4"/>
      <c r="KM64" s="4"/>
      <c r="KN64" s="4"/>
      <c r="KO64" s="4"/>
      <c r="KP64" s="65"/>
      <c r="KQ64" s="4"/>
      <c r="KR64" s="4"/>
      <c r="KS64" s="4"/>
      <c r="KT64" s="4"/>
      <c r="KU64" s="4"/>
      <c r="KV64" s="4"/>
      <c r="KZ64" s="4"/>
      <c r="LA64" s="4"/>
      <c r="LB64" s="4"/>
      <c r="LC64" s="4"/>
      <c r="LD64" s="65"/>
      <c r="LE64" s="4"/>
      <c r="LF64" s="4"/>
      <c r="LG64" s="4"/>
      <c r="LH64" s="4"/>
      <c r="LI64" s="4"/>
      <c r="LJ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N64" s="4"/>
      <c r="MO64" s="4"/>
      <c r="MP64" s="4"/>
      <c r="MQ64" s="4"/>
      <c r="MR64" s="65"/>
      <c r="MS64" s="4"/>
      <c r="MT64" s="4"/>
      <c r="MU64" s="4"/>
      <c r="MV64" s="4"/>
      <c r="MW64" s="4"/>
      <c r="MX64" s="4"/>
      <c r="NB64" s="4"/>
      <c r="NC64" s="4"/>
      <c r="ND64" s="4"/>
      <c r="NE64" s="4"/>
      <c r="NF64" s="65"/>
      <c r="NG64" s="4"/>
      <c r="NH64" s="4"/>
      <c r="NI64" s="4"/>
      <c r="NJ64" s="4"/>
      <c r="NK64" s="4"/>
      <c r="NL64" s="4"/>
      <c r="NP64" s="4"/>
      <c r="NQ64" s="4"/>
      <c r="NR64" s="4"/>
      <c r="NS64" s="4"/>
      <c r="NT64" s="4"/>
      <c r="NU64" s="4"/>
      <c r="NV64" s="4"/>
      <c r="NW64" s="4"/>
      <c r="NX64" s="4"/>
      <c r="NY64" s="4"/>
      <c r="NZ64" s="4"/>
      <c r="OC64" s="4"/>
      <c r="OD64" s="4"/>
      <c r="OE64" s="4"/>
      <c r="OF64" s="4"/>
      <c r="OG64" s="4"/>
      <c r="OH64" s="4"/>
      <c r="OI64" s="4"/>
      <c r="OJ64" s="4"/>
      <c r="OK64" s="4"/>
      <c r="OL64" s="4"/>
      <c r="OM64" s="4"/>
      <c r="OP64" s="4"/>
      <c r="OQ64" s="4"/>
      <c r="OR64" s="4"/>
      <c r="OS64" s="4"/>
      <c r="OT64" s="4"/>
      <c r="OU64" s="4"/>
      <c r="OV64" s="4"/>
      <c r="OW64" s="4"/>
      <c r="OX64" s="4"/>
      <c r="OY64" s="4"/>
      <c r="OZ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C64" s="4"/>
      <c r="TD64" s="4"/>
      <c r="TE64" s="4"/>
      <c r="TF64" s="4"/>
      <c r="TG64" s="4"/>
      <c r="TH64" s="4"/>
      <c r="TI64" s="4"/>
      <c r="TJ64" s="4"/>
      <c r="TK64" s="4"/>
      <c r="TL64" s="4"/>
      <c r="TM64" s="4"/>
      <c r="TP64" s="4"/>
      <c r="TQ64" s="4"/>
      <c r="TR64" s="4"/>
      <c r="TS64" s="4"/>
      <c r="TT64" s="4"/>
      <c r="TU64" s="4"/>
      <c r="TV64" s="4"/>
      <c r="TW64" s="4"/>
      <c r="TX64" s="4"/>
      <c r="TY64" s="4"/>
      <c r="TZ64" s="4"/>
      <c r="UC64" s="4"/>
      <c r="UD64" s="4"/>
      <c r="UE64" s="4"/>
      <c r="UF64" s="4"/>
      <c r="UG64" s="4"/>
      <c r="UH64" s="4"/>
      <c r="UI64" s="4"/>
      <c r="UJ64" s="4"/>
      <c r="UK64" s="4"/>
      <c r="UL64" s="4"/>
      <c r="UM64" s="4"/>
      <c r="UP64" s="4"/>
      <c r="UQ64" s="4"/>
      <c r="UR64" s="4"/>
      <c r="US64" s="4"/>
      <c r="UT64" s="4"/>
      <c r="UU64" s="4"/>
      <c r="UV64" s="4"/>
      <c r="UW64" s="4"/>
      <c r="UX64" s="4"/>
      <c r="UY64" s="4"/>
      <c r="UZ64" s="4"/>
      <c r="VC64" s="4"/>
      <c r="VD64" s="4"/>
      <c r="VE64" s="4"/>
      <c r="VF64" s="4"/>
      <c r="VG64" s="4"/>
      <c r="VH64" s="4"/>
      <c r="VI64" s="4"/>
      <c r="VJ64" s="4"/>
      <c r="VK64" s="4"/>
      <c r="VL64" s="4"/>
      <c r="VM64" s="4"/>
      <c r="VP64" s="4"/>
      <c r="VQ64" s="4"/>
      <c r="VR64" s="4"/>
      <c r="VS64" s="4"/>
      <c r="VT64" s="4"/>
      <c r="VU64" s="4"/>
      <c r="VV64" s="4"/>
      <c r="VW64" s="4"/>
      <c r="VX64" s="4"/>
      <c r="VY64" s="4"/>
      <c r="VZ64" s="4"/>
      <c r="WC64" s="4"/>
      <c r="WD64" s="4"/>
      <c r="WE64" s="4"/>
      <c r="WF64" s="4"/>
      <c r="WG64" s="4"/>
      <c r="WH64" s="4"/>
      <c r="WI64" s="4"/>
      <c r="WJ64" s="4"/>
      <c r="WK64" s="4"/>
      <c r="WL64" s="4"/>
      <c r="WM64" s="4"/>
      <c r="WP64" s="4"/>
      <c r="WQ64" s="4"/>
      <c r="WR64" s="4"/>
      <c r="WS64" s="4"/>
      <c r="WT64" s="4"/>
      <c r="WU64" s="4"/>
      <c r="WV64" s="4"/>
      <c r="WW64" s="4"/>
      <c r="WX64" s="4"/>
      <c r="WY64" s="4"/>
      <c r="WZ64" s="4"/>
      <c r="XC64" s="4"/>
      <c r="XD64" s="4"/>
      <c r="XE64" s="4"/>
      <c r="XF64" s="4"/>
      <c r="XG64" s="4"/>
      <c r="XH64" s="4"/>
      <c r="XI64" s="4"/>
      <c r="XJ64" s="4"/>
      <c r="XK64" s="4"/>
      <c r="XL64" s="4"/>
      <c r="XM64" s="4"/>
      <c r="XP64" s="4"/>
      <c r="XQ64" s="4"/>
      <c r="XR64" s="4"/>
      <c r="XS64" s="4"/>
      <c r="XT64" s="4"/>
      <c r="XU64" s="4"/>
      <c r="XV64" s="4"/>
      <c r="XW64" s="4"/>
      <c r="XX64" s="4"/>
      <c r="XY64" s="4"/>
      <c r="XZ64" s="4"/>
      <c r="YC64" s="4"/>
      <c r="YD64" s="4"/>
      <c r="YE64" s="4"/>
      <c r="YF64" s="4"/>
      <c r="YG64" s="4"/>
      <c r="YH64" s="4"/>
      <c r="YI64" s="4"/>
      <c r="YJ64" s="4"/>
      <c r="YK64" s="4"/>
      <c r="YL64" s="4"/>
      <c r="YM64" s="4"/>
      <c r="YP64" s="4"/>
      <c r="YQ64" s="4"/>
      <c r="YR64" s="4"/>
      <c r="YS64" s="4"/>
      <c r="YT64" s="4"/>
      <c r="YU64" s="4"/>
      <c r="YV64" s="4"/>
      <c r="YW64" s="4"/>
      <c r="YX64" s="4"/>
      <c r="YY64" s="4"/>
      <c r="YZ64" s="4"/>
    </row>
    <row r="65" spans="6:370" s="4" customFormat="1">
      <c r="F65" s="65"/>
      <c r="V65" s="65"/>
      <c r="W65" s="65"/>
      <c r="AL65" s="65"/>
      <c r="AM65" s="65"/>
      <c r="AN65" s="65"/>
      <c r="BB65" s="65"/>
      <c r="BC65" s="65"/>
      <c r="BD65" s="65"/>
      <c r="BR65" s="65"/>
      <c r="BT65" s="65"/>
      <c r="CH65" s="65"/>
      <c r="CI65" s="65"/>
      <c r="CJ65" s="65"/>
      <c r="CX65" s="65"/>
      <c r="CY65" s="65"/>
      <c r="CZ65" s="65"/>
      <c r="DN65" s="65"/>
      <c r="DO65" s="65"/>
      <c r="DP65" s="65"/>
      <c r="ED65" s="65"/>
      <c r="ER65" s="65"/>
      <c r="FF65" s="65"/>
      <c r="FT65" s="65"/>
      <c r="GH65" s="65"/>
      <c r="GV65" s="65"/>
      <c r="HJ65" s="65"/>
      <c r="HX65" s="65"/>
      <c r="IL65" s="65"/>
      <c r="IZ65" s="65"/>
      <c r="JN65" s="65"/>
      <c r="KB65" s="65"/>
      <c r="KP65" s="65"/>
      <c r="LD65" s="65"/>
      <c r="MR65" s="65"/>
      <c r="NF65" s="65"/>
    </row>
    <row r="66" spans="6:370" s="4" customFormat="1">
      <c r="F66" s="65"/>
      <c r="V66" s="65"/>
      <c r="W66" s="65"/>
      <c r="AL66" s="65"/>
      <c r="AM66" s="65"/>
      <c r="AN66" s="65"/>
      <c r="BB66" s="65"/>
      <c r="BC66" s="65"/>
      <c r="BD66" s="65"/>
      <c r="BR66" s="65"/>
      <c r="BT66" s="65"/>
      <c r="CH66" s="65"/>
      <c r="CI66" s="65"/>
      <c r="CJ66" s="65"/>
      <c r="CX66" s="65"/>
      <c r="CY66" s="65"/>
      <c r="CZ66" s="65"/>
      <c r="DN66" s="65"/>
      <c r="DO66" s="65"/>
      <c r="DP66" s="65"/>
      <c r="ED66" s="65"/>
      <c r="ER66" s="65"/>
      <c r="FF66" s="65"/>
      <c r="FT66" s="65"/>
      <c r="GH66" s="65"/>
      <c r="GV66" s="65"/>
      <c r="HJ66" s="65"/>
      <c r="HX66" s="65"/>
      <c r="IL66" s="65"/>
      <c r="IZ66" s="65"/>
      <c r="JN66" s="65"/>
      <c r="KB66" s="65"/>
      <c r="KP66" s="65"/>
      <c r="LD66" s="65"/>
      <c r="MR66" s="65"/>
      <c r="NF66" s="65"/>
    </row>
    <row r="67" spans="6:370" s="4" customFormat="1">
      <c r="F67" s="65"/>
      <c r="V67" s="65"/>
      <c r="W67" s="65"/>
      <c r="AL67" s="65"/>
      <c r="AM67" s="65"/>
      <c r="AN67" s="65"/>
      <c r="BB67" s="65"/>
      <c r="BC67" s="65"/>
      <c r="BD67" s="65"/>
      <c r="BR67" s="65"/>
      <c r="BT67" s="65"/>
      <c r="CH67" s="65"/>
      <c r="CI67" s="65"/>
      <c r="CJ67" s="65"/>
      <c r="CX67" s="65"/>
      <c r="CY67" s="65"/>
      <c r="CZ67" s="65"/>
      <c r="DN67" s="65"/>
      <c r="DO67" s="65"/>
      <c r="DP67" s="65"/>
      <c r="ED67" s="65"/>
      <c r="ER67" s="65"/>
      <c r="FF67" s="65"/>
      <c r="FT67" s="65"/>
      <c r="GH67" s="65"/>
      <c r="GV67" s="65"/>
      <c r="HJ67" s="65"/>
      <c r="HX67" s="65"/>
      <c r="IL67" s="65"/>
      <c r="IZ67" s="65"/>
      <c r="JN67" s="65"/>
      <c r="KB67" s="65"/>
      <c r="KP67" s="65"/>
      <c r="LD67" s="65"/>
      <c r="MR67" s="65"/>
      <c r="NF67" s="65"/>
    </row>
    <row r="68" spans="6:370" s="4" customFormat="1">
      <c r="F68" s="65"/>
      <c r="V68" s="65"/>
      <c r="W68" s="65"/>
      <c r="AL68" s="65"/>
      <c r="AM68" s="65"/>
      <c r="AN68" s="65"/>
      <c r="BB68" s="65"/>
      <c r="BC68" s="65"/>
      <c r="BD68" s="65"/>
      <c r="BR68" s="65"/>
      <c r="BT68" s="65"/>
      <c r="CH68" s="65"/>
      <c r="CI68" s="65"/>
      <c r="CJ68" s="65"/>
      <c r="CX68" s="65"/>
      <c r="CY68" s="65"/>
      <c r="CZ68" s="65"/>
      <c r="DN68" s="65"/>
      <c r="DO68" s="65"/>
      <c r="DP68" s="65"/>
      <c r="ED68" s="65"/>
      <c r="ER68" s="65"/>
      <c r="FF68" s="65"/>
      <c r="FT68" s="65"/>
      <c r="GH68" s="65"/>
      <c r="GV68" s="65"/>
      <c r="HJ68" s="65"/>
      <c r="HX68" s="65"/>
      <c r="IL68" s="65"/>
      <c r="IZ68" s="65"/>
      <c r="JN68" s="65"/>
      <c r="KB68" s="65"/>
      <c r="KP68" s="65"/>
      <c r="LD68" s="65"/>
      <c r="MR68" s="65"/>
      <c r="NF68" s="65"/>
    </row>
    <row r="69" spans="6:370" s="4" customFormat="1">
      <c r="F69" s="65"/>
      <c r="V69" s="65"/>
      <c r="W69" s="65"/>
      <c r="AL69" s="65"/>
      <c r="AM69" s="65"/>
      <c r="AN69" s="65"/>
      <c r="BB69" s="65"/>
      <c r="BC69" s="65"/>
      <c r="BD69" s="65"/>
      <c r="BR69" s="65"/>
      <c r="BT69" s="65"/>
      <c r="CH69" s="65"/>
      <c r="CI69" s="65"/>
      <c r="CJ69" s="65"/>
      <c r="CX69" s="65"/>
      <c r="CY69" s="65"/>
      <c r="CZ69" s="65"/>
      <c r="DN69" s="65"/>
      <c r="DO69" s="65"/>
      <c r="DP69" s="65"/>
      <c r="ED69" s="65"/>
      <c r="ER69" s="65"/>
      <c r="FF69" s="65"/>
      <c r="FT69" s="65"/>
      <c r="GH69" s="65"/>
      <c r="GV69" s="65"/>
      <c r="HJ69" s="65"/>
      <c r="HX69" s="65"/>
      <c r="IL69" s="65"/>
      <c r="IZ69" s="65"/>
      <c r="JN69" s="65"/>
      <c r="KB69" s="65"/>
      <c r="KP69" s="65"/>
      <c r="LD69" s="65"/>
      <c r="MR69" s="65"/>
      <c r="NF69" s="65"/>
    </row>
    <row r="70" spans="6:370" s="4" customFormat="1">
      <c r="F70" s="65"/>
      <c r="V70" s="65"/>
      <c r="W70" s="65"/>
      <c r="AL70" s="65"/>
      <c r="AM70" s="65"/>
      <c r="AN70" s="65"/>
      <c r="BB70" s="65"/>
      <c r="BC70" s="65"/>
      <c r="BD70" s="65"/>
      <c r="BR70" s="65"/>
      <c r="BT70" s="65"/>
      <c r="CH70" s="65"/>
      <c r="CI70" s="65"/>
      <c r="CJ70" s="65"/>
      <c r="CX70" s="65"/>
      <c r="CY70" s="65"/>
      <c r="CZ70" s="65"/>
      <c r="DN70" s="65"/>
      <c r="DO70" s="65"/>
      <c r="DP70" s="65"/>
      <c r="ED70" s="65"/>
      <c r="ER70" s="65"/>
      <c r="FF70" s="65"/>
      <c r="FT70" s="65"/>
      <c r="GH70" s="65"/>
      <c r="GV70" s="65"/>
      <c r="HJ70" s="65"/>
      <c r="HX70" s="65"/>
      <c r="IL70" s="65"/>
      <c r="IZ70" s="65"/>
      <c r="JN70" s="65"/>
      <c r="KB70" s="65"/>
      <c r="KP70" s="65"/>
      <c r="LD70" s="65"/>
      <c r="MR70" s="65"/>
      <c r="NF70" s="65"/>
    </row>
    <row r="71" spans="6:370" s="4" customFormat="1">
      <c r="F71" s="65"/>
      <c r="V71" s="65"/>
      <c r="W71" s="65"/>
      <c r="AL71" s="65"/>
      <c r="AM71" s="65"/>
      <c r="AN71" s="65"/>
      <c r="BB71" s="65"/>
      <c r="BC71" s="65"/>
      <c r="BD71" s="65"/>
      <c r="BR71" s="65"/>
      <c r="BT71" s="65"/>
      <c r="CH71" s="65"/>
      <c r="CI71" s="65"/>
      <c r="CJ71" s="65"/>
      <c r="CX71" s="65"/>
      <c r="CY71" s="65"/>
      <c r="CZ71" s="65"/>
      <c r="DN71" s="65"/>
      <c r="DO71" s="65"/>
      <c r="DP71" s="65"/>
      <c r="ED71" s="65"/>
      <c r="ER71" s="65"/>
      <c r="FF71" s="65"/>
      <c r="FT71" s="65"/>
      <c r="GH71" s="65"/>
      <c r="GV71" s="65"/>
      <c r="HJ71" s="65"/>
      <c r="HX71" s="65"/>
      <c r="IL71" s="65"/>
      <c r="IZ71" s="65"/>
      <c r="JN71" s="65"/>
      <c r="KB71" s="65"/>
      <c r="KP71" s="65"/>
      <c r="LD71" s="65"/>
      <c r="MR71" s="65"/>
      <c r="NF71" s="65"/>
    </row>
    <row r="72" spans="6:370" s="4" customFormat="1">
      <c r="F72" s="65"/>
      <c r="V72" s="65"/>
      <c r="W72" s="65"/>
      <c r="AL72" s="65"/>
      <c r="AM72" s="65"/>
      <c r="AN72" s="65"/>
      <c r="BB72" s="65"/>
      <c r="BC72" s="65"/>
      <c r="BD72" s="65"/>
      <c r="BR72" s="65"/>
      <c r="BT72" s="65"/>
      <c r="CH72" s="65"/>
      <c r="CI72" s="65"/>
      <c r="CJ72" s="65"/>
      <c r="CX72" s="65"/>
      <c r="CY72" s="65"/>
      <c r="CZ72" s="65"/>
      <c r="DN72" s="65"/>
      <c r="DO72" s="65"/>
      <c r="DP72" s="65"/>
      <c r="ED72" s="65"/>
      <c r="ER72" s="65"/>
      <c r="FF72" s="65"/>
      <c r="FT72" s="65"/>
      <c r="GH72" s="65"/>
      <c r="GV72" s="65"/>
      <c r="HJ72" s="65"/>
      <c r="HX72" s="65"/>
      <c r="IL72" s="65"/>
      <c r="IZ72" s="65"/>
      <c r="JN72" s="65"/>
      <c r="KB72" s="65"/>
      <c r="KP72" s="65"/>
      <c r="LD72" s="65"/>
      <c r="MR72" s="65"/>
      <c r="NF72" s="65"/>
    </row>
    <row r="73" spans="6:370" s="4" customFormat="1">
      <c r="F73" s="65"/>
      <c r="V73" s="65"/>
      <c r="W73" s="65"/>
      <c r="AL73" s="65"/>
      <c r="AM73" s="65"/>
      <c r="AN73" s="65"/>
      <c r="BB73" s="65"/>
      <c r="BC73" s="65"/>
      <c r="BD73" s="65"/>
      <c r="BR73" s="65"/>
      <c r="BT73" s="65"/>
      <c r="CH73" s="65"/>
      <c r="CI73" s="65"/>
      <c r="CJ73" s="65"/>
      <c r="CX73" s="65"/>
      <c r="CY73" s="65"/>
      <c r="CZ73" s="65"/>
      <c r="DN73" s="65"/>
      <c r="DO73" s="65"/>
      <c r="DP73" s="65"/>
      <c r="ED73" s="65"/>
      <c r="ER73" s="65"/>
      <c r="FF73" s="65"/>
      <c r="FT73" s="65"/>
      <c r="GH73" s="65"/>
      <c r="GV73" s="65"/>
      <c r="HJ73" s="65"/>
      <c r="HX73" s="65"/>
      <c r="IL73" s="65"/>
      <c r="IZ73" s="65"/>
      <c r="JN73" s="65"/>
      <c r="KB73" s="65"/>
      <c r="KP73" s="65"/>
      <c r="LD73" s="65"/>
      <c r="MR73" s="65"/>
      <c r="NF73" s="65"/>
    </row>
    <row r="74" spans="6:370" s="4" customFormat="1">
      <c r="F74" s="65"/>
      <c r="V74" s="65"/>
      <c r="W74" s="65"/>
      <c r="AL74" s="65"/>
      <c r="AM74" s="65"/>
      <c r="AN74" s="65"/>
      <c r="BB74" s="65"/>
      <c r="BC74" s="65"/>
      <c r="BD74" s="65"/>
      <c r="BR74" s="65"/>
      <c r="BT74" s="65"/>
      <c r="CH74" s="65"/>
      <c r="CI74" s="65"/>
      <c r="CJ74" s="65"/>
      <c r="CX74" s="65"/>
      <c r="CY74" s="65"/>
      <c r="CZ74" s="65"/>
      <c r="DN74" s="65"/>
      <c r="DO74" s="65"/>
      <c r="DP74" s="65"/>
      <c r="ED74" s="65"/>
      <c r="ER74" s="65"/>
      <c r="FF74" s="65"/>
      <c r="FT74" s="65"/>
      <c r="GH74" s="65"/>
      <c r="GV74" s="65"/>
      <c r="HJ74" s="65"/>
      <c r="HX74" s="65"/>
      <c r="IL74" s="65"/>
      <c r="IZ74" s="65"/>
      <c r="JN74" s="65"/>
      <c r="KB74" s="65"/>
      <c r="KP74" s="65"/>
      <c r="LD74" s="65"/>
      <c r="MR74" s="65"/>
      <c r="NF74" s="65"/>
    </row>
    <row r="75" spans="6:370" s="4" customFormat="1">
      <c r="F75" s="65"/>
      <c r="V75" s="65"/>
      <c r="W75" s="65"/>
      <c r="AL75" s="65"/>
      <c r="AM75" s="65"/>
      <c r="AN75" s="65"/>
      <c r="BB75" s="65"/>
      <c r="BC75" s="65"/>
      <c r="BD75" s="65"/>
      <c r="BR75" s="65"/>
      <c r="BT75" s="65"/>
      <c r="CH75" s="65"/>
      <c r="CI75" s="65"/>
      <c r="CJ75" s="65"/>
      <c r="CX75" s="65"/>
      <c r="CY75" s="65"/>
      <c r="CZ75" s="65"/>
      <c r="DN75" s="65"/>
      <c r="DO75" s="65"/>
      <c r="DP75" s="65"/>
      <c r="ED75" s="65"/>
      <c r="ER75" s="65"/>
      <c r="FF75" s="65"/>
      <c r="FT75" s="65"/>
      <c r="GH75" s="65"/>
      <c r="GV75" s="65"/>
      <c r="HJ75" s="65"/>
      <c r="HX75" s="65"/>
      <c r="IL75" s="65"/>
      <c r="IZ75" s="65"/>
      <c r="JN75" s="65"/>
      <c r="KB75" s="65"/>
      <c r="KP75" s="65"/>
      <c r="LD75" s="65"/>
      <c r="MR75" s="65"/>
      <c r="NF75" s="65"/>
    </row>
    <row r="76" spans="6:370" s="4" customFormat="1">
      <c r="F76" s="65"/>
      <c r="V76" s="65"/>
      <c r="W76" s="65"/>
      <c r="AL76" s="65"/>
      <c r="AM76" s="65"/>
      <c r="AN76" s="65"/>
      <c r="BB76" s="65"/>
      <c r="BC76" s="65"/>
      <c r="BD76" s="65"/>
      <c r="BR76" s="65"/>
      <c r="BT76" s="65"/>
      <c r="CH76" s="65"/>
      <c r="CI76" s="65"/>
      <c r="CJ76" s="65"/>
      <c r="CX76" s="65"/>
      <c r="CY76" s="65"/>
      <c r="CZ76" s="65"/>
      <c r="DN76" s="65"/>
      <c r="DO76" s="65"/>
      <c r="DP76" s="65"/>
      <c r="ED76" s="65"/>
      <c r="ER76" s="65"/>
      <c r="FF76" s="65"/>
      <c r="FT76" s="65"/>
      <c r="GH76" s="65"/>
      <c r="GV76" s="65"/>
      <c r="HJ76" s="65"/>
      <c r="HX76" s="65"/>
      <c r="IL76" s="65"/>
      <c r="IZ76" s="65"/>
      <c r="JN76" s="65"/>
      <c r="KB76" s="65"/>
      <c r="KP76" s="65"/>
      <c r="LD76" s="65"/>
      <c r="MR76" s="65"/>
      <c r="NF76" s="65"/>
    </row>
    <row r="77" spans="6:370" s="4" customFormat="1">
      <c r="F77" s="65"/>
      <c r="V77" s="65"/>
      <c r="W77" s="65"/>
      <c r="AL77" s="65"/>
      <c r="AM77" s="65"/>
      <c r="AN77" s="65"/>
      <c r="BB77" s="65"/>
      <c r="BC77" s="65"/>
      <c r="BD77" s="65"/>
      <c r="BR77" s="65"/>
      <c r="BT77" s="65"/>
      <c r="CH77" s="65"/>
      <c r="CI77" s="65"/>
      <c r="CJ77" s="65"/>
      <c r="CX77" s="65"/>
      <c r="CY77" s="65"/>
      <c r="CZ77" s="65"/>
      <c r="DN77" s="65"/>
      <c r="DO77" s="65"/>
      <c r="DP77" s="65"/>
      <c r="ED77" s="65"/>
      <c r="ER77" s="65"/>
      <c r="FF77" s="65"/>
      <c r="FT77" s="65"/>
      <c r="GH77" s="65"/>
      <c r="GV77" s="65"/>
      <c r="HJ77" s="65"/>
      <c r="HX77" s="65"/>
      <c r="IL77" s="65"/>
      <c r="IZ77" s="65"/>
      <c r="JN77" s="65"/>
      <c r="KB77" s="65"/>
      <c r="KP77" s="65"/>
      <c r="LD77" s="65"/>
      <c r="MR77" s="65"/>
      <c r="NF77" s="65"/>
    </row>
    <row r="78" spans="6:370" s="4" customFormat="1">
      <c r="F78" s="65"/>
      <c r="V78" s="65"/>
      <c r="W78" s="65"/>
      <c r="AL78" s="65"/>
      <c r="AM78" s="65"/>
      <c r="AN78" s="65"/>
      <c r="BB78" s="65"/>
      <c r="BC78" s="65"/>
      <c r="BD78" s="65"/>
      <c r="BR78" s="65"/>
      <c r="BT78" s="65"/>
      <c r="CH78" s="65"/>
      <c r="CI78" s="65"/>
      <c r="CJ78" s="65"/>
      <c r="CX78" s="65"/>
      <c r="CY78" s="65"/>
      <c r="CZ78" s="65"/>
      <c r="DN78" s="65"/>
      <c r="DO78" s="65"/>
      <c r="DP78" s="65"/>
      <c r="ED78" s="65"/>
      <c r="ER78" s="65"/>
      <c r="FF78" s="65"/>
      <c r="FT78" s="65"/>
      <c r="GH78" s="65"/>
      <c r="GV78" s="65"/>
      <c r="HJ78" s="65"/>
      <c r="HX78" s="65"/>
      <c r="IL78" s="65"/>
      <c r="IZ78" s="65"/>
      <c r="JN78" s="65"/>
      <c r="KB78" s="65"/>
      <c r="KP78" s="65"/>
      <c r="LD78" s="65"/>
      <c r="MR78" s="65"/>
      <c r="NF78" s="65"/>
    </row>
    <row r="79" spans="6:370" s="4" customFormat="1">
      <c r="F79" s="65"/>
      <c r="V79" s="65"/>
      <c r="W79" s="65"/>
      <c r="AL79" s="65"/>
      <c r="AM79" s="65"/>
      <c r="AN79" s="65"/>
      <c r="BB79" s="65"/>
      <c r="BC79" s="65"/>
      <c r="BD79" s="65"/>
      <c r="BR79" s="65"/>
      <c r="BT79" s="65"/>
      <c r="CH79" s="65"/>
      <c r="CI79" s="65"/>
      <c r="CJ79" s="65"/>
      <c r="CX79" s="65"/>
      <c r="CY79" s="65"/>
      <c r="CZ79" s="65"/>
      <c r="DN79" s="65"/>
      <c r="DO79" s="65"/>
      <c r="DP79" s="65"/>
      <c r="ED79" s="65"/>
      <c r="ER79" s="65"/>
      <c r="FF79" s="65"/>
      <c r="FT79" s="65"/>
      <c r="GH79" s="65"/>
      <c r="GV79" s="65"/>
      <c r="HJ79" s="65"/>
      <c r="HX79" s="65"/>
      <c r="IL79" s="65"/>
      <c r="IZ79" s="65"/>
      <c r="JN79" s="65"/>
      <c r="KB79" s="65"/>
      <c r="KP79" s="65"/>
      <c r="LD79" s="65"/>
      <c r="MR79" s="65"/>
      <c r="NF79" s="65"/>
    </row>
    <row r="80" spans="6:370" s="4" customFormat="1">
      <c r="F80" s="65"/>
      <c r="V80" s="65"/>
      <c r="W80" s="65"/>
      <c r="AL80" s="65"/>
      <c r="AM80" s="65"/>
      <c r="AN80" s="65"/>
      <c r="BB80" s="65"/>
      <c r="BC80" s="65"/>
      <c r="BD80" s="65"/>
      <c r="BR80" s="65"/>
      <c r="BT80" s="65"/>
      <c r="CH80" s="65"/>
      <c r="CI80" s="65"/>
      <c r="CJ80" s="65"/>
      <c r="CX80" s="65"/>
      <c r="CY80" s="65"/>
      <c r="CZ80" s="65"/>
      <c r="DN80" s="65"/>
      <c r="DO80" s="65"/>
      <c r="DP80" s="65"/>
      <c r="ED80" s="65"/>
      <c r="ER80" s="65"/>
      <c r="FF80" s="65"/>
      <c r="FT80" s="65"/>
      <c r="GH80" s="65"/>
      <c r="GV80" s="65"/>
      <c r="HJ80" s="65"/>
      <c r="HX80" s="65"/>
      <c r="IL80" s="65"/>
      <c r="IZ80" s="65"/>
      <c r="JN80" s="65"/>
      <c r="KB80" s="65"/>
      <c r="KP80" s="65"/>
      <c r="LD80" s="65"/>
      <c r="MR80" s="65"/>
      <c r="NF80" s="65"/>
    </row>
    <row r="81" spans="6:370" s="4" customFormat="1">
      <c r="F81" s="65"/>
      <c r="V81" s="65"/>
      <c r="W81" s="65"/>
      <c r="AL81" s="65"/>
      <c r="AM81" s="65"/>
      <c r="AN81" s="65"/>
      <c r="BB81" s="65"/>
      <c r="BC81" s="65"/>
      <c r="BD81" s="65"/>
      <c r="BR81" s="65"/>
      <c r="BT81" s="65"/>
      <c r="CH81" s="65"/>
      <c r="CI81" s="65"/>
      <c r="CJ81" s="65"/>
      <c r="CX81" s="65"/>
      <c r="CY81" s="65"/>
      <c r="CZ81" s="65"/>
      <c r="DN81" s="65"/>
      <c r="DO81" s="65"/>
      <c r="DP81" s="65"/>
      <c r="ED81" s="65"/>
      <c r="ER81" s="65"/>
      <c r="FF81" s="65"/>
      <c r="FT81" s="65"/>
      <c r="GH81" s="65"/>
      <c r="GV81" s="65"/>
      <c r="HJ81" s="65"/>
      <c r="HX81" s="65"/>
      <c r="IL81" s="65"/>
      <c r="IZ81" s="65"/>
      <c r="JN81" s="65"/>
      <c r="KB81" s="65"/>
      <c r="KP81" s="65"/>
      <c r="LD81" s="65"/>
      <c r="MR81" s="65"/>
      <c r="NF81" s="65"/>
    </row>
    <row r="82" spans="6:370" s="4" customFormat="1">
      <c r="F82" s="65"/>
      <c r="V82" s="65"/>
      <c r="W82" s="65"/>
      <c r="AL82" s="65"/>
      <c r="AM82" s="65"/>
      <c r="AN82" s="65"/>
      <c r="BB82" s="65"/>
      <c r="BC82" s="65"/>
      <c r="BD82" s="65"/>
      <c r="BR82" s="65"/>
      <c r="BT82" s="65"/>
      <c r="CH82" s="65"/>
      <c r="CI82" s="65"/>
      <c r="CJ82" s="65"/>
      <c r="CX82" s="65"/>
      <c r="CY82" s="65"/>
      <c r="CZ82" s="65"/>
      <c r="DN82" s="65"/>
      <c r="DO82" s="65"/>
      <c r="DP82" s="65"/>
      <c r="ED82" s="65"/>
      <c r="ER82" s="65"/>
      <c r="FF82" s="65"/>
      <c r="FT82" s="65"/>
      <c r="GH82" s="65"/>
      <c r="GV82" s="65"/>
      <c r="HJ82" s="65"/>
      <c r="HX82" s="65"/>
      <c r="IL82" s="65"/>
      <c r="IZ82" s="65"/>
      <c r="JN82" s="65"/>
      <c r="KB82" s="65"/>
      <c r="KP82" s="65"/>
      <c r="LD82" s="65"/>
      <c r="MR82" s="65"/>
      <c r="NF82" s="65"/>
    </row>
    <row r="83" spans="6:370" s="4" customFormat="1">
      <c r="F83" s="65"/>
      <c r="V83" s="65"/>
      <c r="W83" s="65"/>
      <c r="AL83" s="65"/>
      <c r="AM83" s="65"/>
      <c r="AN83" s="65"/>
      <c r="BB83" s="65"/>
      <c r="BC83" s="65"/>
      <c r="BD83" s="65"/>
      <c r="BR83" s="65"/>
      <c r="BT83" s="65"/>
      <c r="CH83" s="65"/>
      <c r="CI83" s="65"/>
      <c r="CJ83" s="65"/>
      <c r="CX83" s="65"/>
      <c r="CY83" s="65"/>
      <c r="CZ83" s="65"/>
      <c r="DN83" s="65"/>
      <c r="DO83" s="65"/>
      <c r="DP83" s="65"/>
      <c r="ED83" s="65"/>
      <c r="ER83" s="65"/>
      <c r="FF83" s="65"/>
      <c r="FT83" s="65"/>
      <c r="GH83" s="65"/>
      <c r="GV83" s="65"/>
      <c r="HJ83" s="65"/>
      <c r="HX83" s="65"/>
      <c r="IL83" s="65"/>
      <c r="IZ83" s="65"/>
      <c r="JN83" s="65"/>
      <c r="KB83" s="65"/>
      <c r="KP83" s="65"/>
      <c r="LD83" s="65"/>
      <c r="MR83" s="65"/>
      <c r="NF83" s="65"/>
    </row>
    <row r="84" spans="6:370" s="4" customFormat="1">
      <c r="F84" s="65"/>
      <c r="V84" s="65"/>
      <c r="W84" s="65"/>
      <c r="AL84" s="65"/>
      <c r="AM84" s="65"/>
      <c r="AN84" s="65"/>
      <c r="BB84" s="65"/>
      <c r="BC84" s="65"/>
      <c r="BD84" s="65"/>
      <c r="BR84" s="65"/>
      <c r="BT84" s="65"/>
      <c r="CH84" s="65"/>
      <c r="CI84" s="65"/>
      <c r="CJ84" s="65"/>
      <c r="CX84" s="65"/>
      <c r="CY84" s="65"/>
      <c r="CZ84" s="65"/>
      <c r="DN84" s="65"/>
      <c r="DO84" s="65"/>
      <c r="DP84" s="65"/>
      <c r="ED84" s="65"/>
      <c r="ER84" s="65"/>
      <c r="FF84" s="65"/>
      <c r="FT84" s="65"/>
      <c r="GH84" s="65"/>
      <c r="GV84" s="65"/>
      <c r="HJ84" s="65"/>
      <c r="HX84" s="65"/>
      <c r="IL84" s="65"/>
      <c r="IZ84" s="65"/>
      <c r="JN84" s="65"/>
      <c r="KB84" s="65"/>
      <c r="KP84" s="65"/>
      <c r="LD84" s="65"/>
      <c r="MR84" s="65"/>
      <c r="NF84" s="65"/>
    </row>
    <row r="85" spans="6:370" s="4" customFormat="1">
      <c r="F85" s="65"/>
      <c r="V85" s="65"/>
      <c r="W85" s="65"/>
      <c r="AL85" s="65"/>
      <c r="AM85" s="65"/>
      <c r="AN85" s="65"/>
      <c r="BB85" s="65"/>
      <c r="BC85" s="65"/>
      <c r="BD85" s="65"/>
      <c r="BR85" s="65"/>
      <c r="BT85" s="65"/>
      <c r="CH85" s="65"/>
      <c r="CI85" s="65"/>
      <c r="CJ85" s="65"/>
      <c r="CX85" s="65"/>
      <c r="CY85" s="65"/>
      <c r="CZ85" s="65"/>
      <c r="DN85" s="65"/>
      <c r="DO85" s="65"/>
      <c r="DP85" s="65"/>
      <c r="ED85" s="65"/>
      <c r="ER85" s="65"/>
      <c r="FF85" s="65"/>
      <c r="FT85" s="65"/>
      <c r="GH85" s="65"/>
      <c r="GV85" s="65"/>
      <c r="HJ85" s="65"/>
      <c r="HX85" s="65"/>
      <c r="IL85" s="65"/>
      <c r="IZ85" s="65"/>
      <c r="JN85" s="65"/>
      <c r="KB85" s="65"/>
      <c r="KP85" s="65"/>
      <c r="LD85" s="65"/>
      <c r="MR85" s="65"/>
      <c r="NF85" s="65"/>
    </row>
    <row r="86" spans="6:370" s="4" customFormat="1">
      <c r="F86" s="65"/>
      <c r="V86" s="65"/>
      <c r="W86" s="65"/>
      <c r="AL86" s="65"/>
      <c r="AM86" s="65"/>
      <c r="AN86" s="65"/>
      <c r="BB86" s="65"/>
      <c r="BC86" s="65"/>
      <c r="BD86" s="65"/>
      <c r="BR86" s="65"/>
      <c r="BT86" s="65"/>
      <c r="CH86" s="65"/>
      <c r="CI86" s="65"/>
      <c r="CJ86" s="65"/>
      <c r="CX86" s="65"/>
      <c r="CY86" s="65"/>
      <c r="CZ86" s="65"/>
      <c r="DN86" s="65"/>
      <c r="DO86" s="65"/>
      <c r="DP86" s="65"/>
      <c r="ED86" s="65"/>
      <c r="ER86" s="65"/>
      <c r="FF86" s="65"/>
      <c r="FT86" s="65"/>
      <c r="GH86" s="65"/>
      <c r="GV86" s="65"/>
      <c r="HJ86" s="65"/>
      <c r="HX86" s="65"/>
      <c r="IL86" s="65"/>
      <c r="IZ86" s="65"/>
      <c r="JN86" s="65"/>
      <c r="KB86" s="65"/>
      <c r="KP86" s="65"/>
      <c r="LD86" s="65"/>
      <c r="MR86" s="65"/>
      <c r="NF86" s="65"/>
    </row>
    <row r="87" spans="6:370" s="4" customFormat="1">
      <c r="F87" s="65"/>
      <c r="V87" s="65"/>
      <c r="W87" s="65"/>
      <c r="AL87" s="65"/>
      <c r="AM87" s="65"/>
      <c r="AN87" s="65"/>
      <c r="BB87" s="65"/>
      <c r="BC87" s="65"/>
      <c r="BD87" s="65"/>
      <c r="BR87" s="65"/>
      <c r="BT87" s="65"/>
      <c r="CH87" s="65"/>
      <c r="CI87" s="65"/>
      <c r="CJ87" s="65"/>
      <c r="CX87" s="65"/>
      <c r="CY87" s="65"/>
      <c r="CZ87" s="65"/>
      <c r="DN87" s="65"/>
      <c r="DO87" s="65"/>
      <c r="DP87" s="65"/>
      <c r="ED87" s="65"/>
      <c r="ER87" s="65"/>
      <c r="FF87" s="65"/>
      <c r="FT87" s="65"/>
      <c r="GH87" s="65"/>
      <c r="GV87" s="65"/>
      <c r="HJ87" s="65"/>
      <c r="HX87" s="65"/>
      <c r="IL87" s="65"/>
      <c r="IZ87" s="65"/>
      <c r="JN87" s="65"/>
      <c r="KB87" s="65"/>
      <c r="KP87" s="65"/>
      <c r="LD87" s="65"/>
      <c r="MR87" s="65"/>
      <c r="NF87" s="65"/>
    </row>
    <row r="88" spans="6:370" s="4" customFormat="1">
      <c r="F88" s="65"/>
      <c r="V88" s="65"/>
      <c r="W88" s="65"/>
      <c r="AL88" s="65"/>
      <c r="AM88" s="65"/>
      <c r="AN88" s="65"/>
      <c r="BB88" s="65"/>
      <c r="BC88" s="65"/>
      <c r="BD88" s="65"/>
      <c r="BR88" s="65"/>
      <c r="BT88" s="65"/>
      <c r="CH88" s="65"/>
      <c r="CI88" s="65"/>
      <c r="CJ88" s="65"/>
      <c r="CX88" s="65"/>
      <c r="CY88" s="65"/>
      <c r="CZ88" s="65"/>
      <c r="DN88" s="65"/>
      <c r="DO88" s="65"/>
      <c r="DP88" s="65"/>
      <c r="ED88" s="65"/>
      <c r="ER88" s="65"/>
      <c r="FF88" s="65"/>
      <c r="FT88" s="65"/>
      <c r="GH88" s="65"/>
      <c r="GV88" s="65"/>
      <c r="HJ88" s="65"/>
      <c r="HX88" s="65"/>
      <c r="IL88" s="65"/>
      <c r="IZ88" s="65"/>
      <c r="JN88" s="65"/>
      <c r="KB88" s="65"/>
      <c r="KP88" s="65"/>
      <c r="LD88" s="65"/>
      <c r="MR88" s="65"/>
      <c r="NF88" s="65"/>
    </row>
    <row r="89" spans="6:370" s="4" customFormat="1">
      <c r="F89" s="65"/>
      <c r="V89" s="65"/>
      <c r="W89" s="65"/>
      <c r="AL89" s="65"/>
      <c r="AM89" s="65"/>
      <c r="AN89" s="65"/>
      <c r="BB89" s="65"/>
      <c r="BC89" s="65"/>
      <c r="BD89" s="65"/>
      <c r="BR89" s="65"/>
      <c r="BT89" s="65"/>
      <c r="CH89" s="65"/>
      <c r="CI89" s="65"/>
      <c r="CJ89" s="65"/>
      <c r="CX89" s="65"/>
      <c r="CY89" s="65"/>
      <c r="CZ89" s="65"/>
      <c r="DN89" s="65"/>
      <c r="DO89" s="65"/>
      <c r="DP89" s="65"/>
      <c r="ED89" s="65"/>
      <c r="ER89" s="65"/>
      <c r="FF89" s="65"/>
      <c r="FT89" s="65"/>
      <c r="GH89" s="65"/>
      <c r="GV89" s="65"/>
      <c r="HJ89" s="65"/>
      <c r="HX89" s="65"/>
      <c r="IL89" s="65"/>
      <c r="IZ89" s="65"/>
      <c r="JN89" s="65"/>
      <c r="KB89" s="65"/>
      <c r="KP89" s="65"/>
      <c r="LD89" s="65"/>
      <c r="MR89" s="65"/>
      <c r="NF89" s="65"/>
    </row>
    <row r="90" spans="6:370" s="4" customFormat="1">
      <c r="F90" s="65"/>
      <c r="V90" s="65"/>
      <c r="W90" s="65"/>
      <c r="AL90" s="65"/>
      <c r="AM90" s="65"/>
      <c r="AN90" s="65"/>
      <c r="BB90" s="65"/>
      <c r="BC90" s="65"/>
      <c r="BD90" s="65"/>
      <c r="BR90" s="65"/>
      <c r="BT90" s="65"/>
      <c r="CH90" s="65"/>
      <c r="CI90" s="65"/>
      <c r="CJ90" s="65"/>
      <c r="CX90" s="65"/>
      <c r="CY90" s="65"/>
      <c r="CZ90" s="65"/>
      <c r="DN90" s="65"/>
      <c r="DO90" s="65"/>
      <c r="DP90" s="65"/>
      <c r="ED90" s="65"/>
      <c r="ER90" s="65"/>
      <c r="FF90" s="65"/>
      <c r="FT90" s="65"/>
      <c r="GH90" s="65"/>
      <c r="GV90" s="65"/>
      <c r="HJ90" s="65"/>
      <c r="HX90" s="65"/>
      <c r="IL90" s="65"/>
      <c r="IZ90" s="65"/>
      <c r="JN90" s="65"/>
      <c r="KB90" s="65"/>
      <c r="KP90" s="65"/>
      <c r="LD90" s="65"/>
      <c r="MR90" s="65"/>
      <c r="NF90" s="65"/>
    </row>
    <row r="91" spans="6:370" s="4" customFormat="1">
      <c r="F91" s="65"/>
      <c r="V91" s="65"/>
      <c r="W91" s="65"/>
      <c r="AL91" s="65"/>
      <c r="AM91" s="65"/>
      <c r="AN91" s="65"/>
      <c r="BB91" s="65"/>
      <c r="BC91" s="65"/>
      <c r="BD91" s="65"/>
      <c r="BR91" s="65"/>
      <c r="BT91" s="65"/>
      <c r="CH91" s="65"/>
      <c r="CI91" s="65"/>
      <c r="CJ91" s="65"/>
      <c r="CX91" s="65"/>
      <c r="CY91" s="65"/>
      <c r="CZ91" s="65"/>
      <c r="DN91" s="65"/>
      <c r="DO91" s="65"/>
      <c r="DP91" s="65"/>
      <c r="ED91" s="65"/>
      <c r="ER91" s="65"/>
      <c r="FF91" s="65"/>
      <c r="FT91" s="65"/>
      <c r="GH91" s="65"/>
      <c r="GV91" s="65"/>
      <c r="HJ91" s="65"/>
      <c r="HX91" s="65"/>
      <c r="IL91" s="65"/>
      <c r="IZ91" s="65"/>
      <c r="JN91" s="65"/>
      <c r="KB91" s="65"/>
      <c r="KP91" s="65"/>
      <c r="LD91" s="65"/>
      <c r="MR91" s="65"/>
      <c r="NF91" s="65"/>
    </row>
  </sheetData>
  <mergeCells count="98">
    <mergeCell ref="B2:N2"/>
    <mergeCell ref="R2:AD2"/>
    <mergeCell ref="AH2:AT2"/>
    <mergeCell ref="AX2:BJ2"/>
    <mergeCell ref="B27:N27"/>
    <mergeCell ref="R27:AD27"/>
    <mergeCell ref="AH27:AT27"/>
    <mergeCell ref="AX27:BJ27"/>
    <mergeCell ref="DJ2:DV2"/>
    <mergeCell ref="DJ27:DV27"/>
    <mergeCell ref="BN2:BZ2"/>
    <mergeCell ref="BN27:BZ27"/>
    <mergeCell ref="CD2:CP2"/>
    <mergeCell ref="CD27:CP27"/>
    <mergeCell ref="CT2:DF2"/>
    <mergeCell ref="CT27:DF27"/>
    <mergeCell ref="DZ2:EJ2"/>
    <mergeCell ref="EN2:EX2"/>
    <mergeCell ref="FB2:FL2"/>
    <mergeCell ref="FP2:FZ2"/>
    <mergeCell ref="DZ27:EJ27"/>
    <mergeCell ref="EN27:EX27"/>
    <mergeCell ref="FB27:FL27"/>
    <mergeCell ref="FP27:FZ27"/>
    <mergeCell ref="GD2:GN2"/>
    <mergeCell ref="GR2:HB2"/>
    <mergeCell ref="HF2:HP2"/>
    <mergeCell ref="HT2:ID2"/>
    <mergeCell ref="GD27:GN27"/>
    <mergeCell ref="GR27:HB27"/>
    <mergeCell ref="HF27:HP27"/>
    <mergeCell ref="HT27:ID27"/>
    <mergeCell ref="KL2:KV2"/>
    <mergeCell ref="KZ2:LJ2"/>
    <mergeCell ref="LN2:LX2"/>
    <mergeCell ref="MA2:MK2"/>
    <mergeCell ref="KL27:KV27"/>
    <mergeCell ref="KZ27:LJ27"/>
    <mergeCell ref="LN27:LX27"/>
    <mergeCell ref="MA27:MK27"/>
    <mergeCell ref="SC2:SM2"/>
    <mergeCell ref="SP2:SZ2"/>
    <mergeCell ref="TC2:TM2"/>
    <mergeCell ref="TP2:TZ2"/>
    <mergeCell ref="SC27:SM27"/>
    <mergeCell ref="SP27:SZ27"/>
    <mergeCell ref="TC27:TM27"/>
    <mergeCell ref="TP27:TZ27"/>
    <mergeCell ref="UP2:UZ2"/>
    <mergeCell ref="UP27:UZ27"/>
    <mergeCell ref="VC2:VM2"/>
    <mergeCell ref="VC27:VM27"/>
    <mergeCell ref="UC2:UM2"/>
    <mergeCell ref="UC27:UM27"/>
    <mergeCell ref="YC2:YM2"/>
    <mergeCell ref="YP2:YZ2"/>
    <mergeCell ref="WP27:WZ27"/>
    <mergeCell ref="YC27:YM27"/>
    <mergeCell ref="YP27:YZ27"/>
    <mergeCell ref="XP2:XZ2"/>
    <mergeCell ref="XP27:XZ27"/>
    <mergeCell ref="VP2:VZ2"/>
    <mergeCell ref="VP27:VZ27"/>
    <mergeCell ref="XC2:XM2"/>
    <mergeCell ref="XC27:XM27"/>
    <mergeCell ref="WC2:WM2"/>
    <mergeCell ref="WC27:WM27"/>
    <mergeCell ref="WP2:WZ2"/>
    <mergeCell ref="OP2:OZ2"/>
    <mergeCell ref="OP27:OZ27"/>
    <mergeCell ref="PC2:PM2"/>
    <mergeCell ref="PC27:PM27"/>
    <mergeCell ref="PP2:PZ2"/>
    <mergeCell ref="PP27:PZ27"/>
    <mergeCell ref="RP2:RZ2"/>
    <mergeCell ref="RP27:RZ27"/>
    <mergeCell ref="QC2:QM2"/>
    <mergeCell ref="QC27:QM27"/>
    <mergeCell ref="QP2:QZ2"/>
    <mergeCell ref="QP27:QZ27"/>
    <mergeCell ref="RC2:RM2"/>
    <mergeCell ref="RC27:RM27"/>
    <mergeCell ref="MN2:MX2"/>
    <mergeCell ref="MN27:MX27"/>
    <mergeCell ref="OC2:OM2"/>
    <mergeCell ref="OC27:OM27"/>
    <mergeCell ref="NP2:NZ2"/>
    <mergeCell ref="NP27:NZ27"/>
    <mergeCell ref="NB2:NL2"/>
    <mergeCell ref="NB27:NL27"/>
    <mergeCell ref="JX2:KH2"/>
    <mergeCell ref="JX27:KH27"/>
    <mergeCell ref="IH2:IR2"/>
    <mergeCell ref="IH27:IR27"/>
    <mergeCell ref="IV2:JF2"/>
    <mergeCell ref="IV27:JF27"/>
    <mergeCell ref="JJ2:JT2"/>
    <mergeCell ref="JJ27:JT27"/>
  </mergeCells>
  <pageMargins left="0.75" right="0.75" top="1" bottom="1" header="0.5" footer="0.5"/>
  <pageSetup paperSize="9" scale="88" orientation="portrait" r:id="rId1"/>
  <headerFooter alignWithMargins="0">
    <oddHeader>&amp;C Nota nr &amp;A str &amp;P / &amp;N</oddHeader>
    <oddFooter>&amp;C Nota nr 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0C4E6-C965-43A6-BC50-81A4E7076B99}">
  <sheetPr>
    <tabColor rgb="FF003366"/>
    <pageSetUpPr fitToPage="1"/>
  </sheetPr>
  <dimension ref="A2:AS45"/>
  <sheetViews>
    <sheetView showGridLines="0" workbookViewId="0">
      <pane xSplit="3" ySplit="7" topLeftCell="D8" activePane="bottomRight" state="frozen"/>
      <selection activeCell="B5" sqref="B5"/>
      <selection pane="topRight" activeCell="B5" sqref="B5"/>
      <selection pane="bottomLeft" activeCell="B5" sqref="B5"/>
      <selection pane="bottomRight" activeCell="E48" sqref="E48"/>
    </sheetView>
  </sheetViews>
  <sheetFormatPr defaultColWidth="9.1796875" defaultRowHeight="10.5"/>
  <cols>
    <col min="1" max="1" width="2.81640625" style="73" customWidth="1"/>
    <col min="2" max="3" width="45.453125" style="73" customWidth="1"/>
    <col min="4" max="4" width="11.1796875" style="182" customWidth="1"/>
    <col min="5" max="24" width="11.1796875" style="73" customWidth="1"/>
    <col min="25" max="25" width="2.1796875" style="73" customWidth="1"/>
    <col min="26" max="45" width="11.1796875" style="73" customWidth="1"/>
    <col min="46" max="16384" width="9.1796875" style="73"/>
  </cols>
  <sheetData>
    <row r="2" spans="1:45">
      <c r="B2" s="90" t="s">
        <v>167</v>
      </c>
      <c r="AD2" s="151"/>
    </row>
    <row r="3" spans="1:45">
      <c r="B3" s="73" t="s">
        <v>209</v>
      </c>
    </row>
    <row r="5" spans="1:45" s="74" customFormat="1" ht="20.5" customHeight="1">
      <c r="A5" s="133"/>
      <c r="B5" s="134"/>
      <c r="C5" s="135"/>
      <c r="D5" s="137">
        <v>46112</v>
      </c>
      <c r="E5" s="140">
        <v>46022</v>
      </c>
      <c r="F5" s="137">
        <v>45930</v>
      </c>
      <c r="G5" s="137">
        <v>45838</v>
      </c>
      <c r="H5" s="137">
        <v>45747</v>
      </c>
      <c r="I5" s="136">
        <v>45657</v>
      </c>
      <c r="J5" s="137">
        <v>45565</v>
      </c>
      <c r="K5" s="137">
        <v>45473</v>
      </c>
      <c r="L5" s="137">
        <v>45382</v>
      </c>
      <c r="M5" s="136">
        <v>45291</v>
      </c>
      <c r="N5" s="137">
        <v>45199</v>
      </c>
      <c r="O5" s="137">
        <v>45107</v>
      </c>
      <c r="P5" s="137">
        <v>45016</v>
      </c>
      <c r="Q5" s="136">
        <v>44926</v>
      </c>
      <c r="R5" s="137">
        <v>44834</v>
      </c>
      <c r="S5" s="137">
        <v>44742</v>
      </c>
      <c r="T5" s="137">
        <v>44651</v>
      </c>
      <c r="U5" s="136">
        <v>44561</v>
      </c>
      <c r="V5" s="137">
        <v>44469</v>
      </c>
      <c r="W5" s="137">
        <v>44377</v>
      </c>
      <c r="X5" s="137">
        <v>44286</v>
      </c>
      <c r="Z5" s="153">
        <v>46022</v>
      </c>
      <c r="AA5" s="153">
        <v>45930</v>
      </c>
      <c r="AB5" s="153">
        <v>45838</v>
      </c>
      <c r="AC5" s="163">
        <v>45747</v>
      </c>
      <c r="AD5" s="155">
        <v>45657</v>
      </c>
      <c r="AE5" s="153">
        <v>45565</v>
      </c>
      <c r="AF5" s="153">
        <v>45473</v>
      </c>
      <c r="AG5" s="163">
        <v>45382</v>
      </c>
      <c r="AH5" s="153">
        <v>45291</v>
      </c>
      <c r="AI5" s="153">
        <v>45199</v>
      </c>
      <c r="AJ5" s="153">
        <v>45107</v>
      </c>
      <c r="AK5" s="163">
        <v>45016</v>
      </c>
      <c r="AL5" s="153">
        <v>44926</v>
      </c>
      <c r="AM5" s="153">
        <v>44834</v>
      </c>
      <c r="AN5" s="153">
        <v>44742</v>
      </c>
      <c r="AO5" s="163">
        <v>44651</v>
      </c>
      <c r="AP5" s="153">
        <v>44561</v>
      </c>
      <c r="AQ5" s="153">
        <v>44469</v>
      </c>
      <c r="AR5" s="153">
        <v>44377</v>
      </c>
      <c r="AS5" s="153">
        <v>44286</v>
      </c>
    </row>
    <row r="6" spans="1:45" s="74" customFormat="1" ht="20.5" customHeight="1">
      <c r="A6" s="133"/>
      <c r="B6" s="141"/>
      <c r="C6" s="142"/>
      <c r="D6" s="143" t="s">
        <v>63</v>
      </c>
      <c r="E6" s="144" t="s">
        <v>92</v>
      </c>
      <c r="F6" s="143" t="s">
        <v>62</v>
      </c>
      <c r="G6" s="143" t="s">
        <v>61</v>
      </c>
      <c r="H6" s="143" t="s">
        <v>63</v>
      </c>
      <c r="I6" s="144" t="s">
        <v>92</v>
      </c>
      <c r="J6" s="143" t="s">
        <v>62</v>
      </c>
      <c r="K6" s="143" t="s">
        <v>61</v>
      </c>
      <c r="L6" s="143" t="s">
        <v>63</v>
      </c>
      <c r="M6" s="144" t="s">
        <v>92</v>
      </c>
      <c r="N6" s="143" t="s">
        <v>62</v>
      </c>
      <c r="O6" s="143" t="s">
        <v>61</v>
      </c>
      <c r="P6" s="143" t="s">
        <v>63</v>
      </c>
      <c r="Q6" s="144" t="s">
        <v>92</v>
      </c>
      <c r="R6" s="143" t="s">
        <v>62</v>
      </c>
      <c r="S6" s="143" t="s">
        <v>61</v>
      </c>
      <c r="T6" s="143" t="s">
        <v>63</v>
      </c>
      <c r="U6" s="144" t="s">
        <v>92</v>
      </c>
      <c r="V6" s="143" t="s">
        <v>62</v>
      </c>
      <c r="W6" s="143" t="s">
        <v>61</v>
      </c>
      <c r="X6" s="143" t="s">
        <v>63</v>
      </c>
      <c r="Z6" s="154" t="s">
        <v>319</v>
      </c>
      <c r="AA6" s="154" t="s">
        <v>320</v>
      </c>
      <c r="AB6" s="154" t="s">
        <v>321</v>
      </c>
      <c r="AC6" s="164" t="s">
        <v>322</v>
      </c>
      <c r="AD6" s="156" t="s">
        <v>319</v>
      </c>
      <c r="AE6" s="154" t="s">
        <v>320</v>
      </c>
      <c r="AF6" s="154" t="s">
        <v>321</v>
      </c>
      <c r="AG6" s="164" t="s">
        <v>322</v>
      </c>
      <c r="AH6" s="154" t="s">
        <v>319</v>
      </c>
      <c r="AI6" s="154" t="s">
        <v>320</v>
      </c>
      <c r="AJ6" s="154" t="s">
        <v>321</v>
      </c>
      <c r="AK6" s="164" t="s">
        <v>322</v>
      </c>
      <c r="AL6" s="154" t="s">
        <v>319</v>
      </c>
      <c r="AM6" s="154" t="s">
        <v>320</v>
      </c>
      <c r="AN6" s="154" t="s">
        <v>321</v>
      </c>
      <c r="AO6" s="164" t="s">
        <v>322</v>
      </c>
      <c r="AP6" s="154" t="s">
        <v>319</v>
      </c>
      <c r="AQ6" s="154" t="s">
        <v>320</v>
      </c>
      <c r="AR6" s="154" t="s">
        <v>321</v>
      </c>
      <c r="AS6" s="154" t="s">
        <v>322</v>
      </c>
    </row>
    <row r="7" spans="1:45" ht="5.5" customHeight="1">
      <c r="B7" s="75"/>
      <c r="C7" s="76"/>
      <c r="D7" s="183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7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7"/>
    </row>
    <row r="8" spans="1:45" ht="11.25" customHeight="1">
      <c r="B8" s="79" t="s">
        <v>211</v>
      </c>
      <c r="C8" s="80" t="s">
        <v>212</v>
      </c>
      <c r="D8" s="184">
        <v>49115436.570000008</v>
      </c>
      <c r="E8" s="99">
        <v>282520898.63</v>
      </c>
      <c r="F8" s="99">
        <v>218121729.81</v>
      </c>
      <c r="G8" s="99">
        <v>145467700.75999996</v>
      </c>
      <c r="H8" s="99">
        <v>65615731.980000012</v>
      </c>
      <c r="I8" s="99">
        <v>207762989.71000001</v>
      </c>
      <c r="J8" s="99">
        <v>130074279.21000004</v>
      </c>
      <c r="K8" s="99">
        <v>88090822.609999985</v>
      </c>
      <c r="L8" s="99">
        <v>37480958.399999999</v>
      </c>
      <c r="M8" s="99">
        <v>181635639.06999999</v>
      </c>
      <c r="N8" s="99">
        <v>134112595.47000003</v>
      </c>
      <c r="O8" s="99">
        <v>83410782.400000006</v>
      </c>
      <c r="P8" s="99">
        <v>34370622.769999996</v>
      </c>
      <c r="Q8" s="99">
        <v>233159424.47</v>
      </c>
      <c r="R8" s="99">
        <v>155583160.45999998</v>
      </c>
      <c r="S8" s="99">
        <v>98092918.660000011</v>
      </c>
      <c r="T8" s="99">
        <v>50043129.679999992</v>
      </c>
      <c r="U8" s="99">
        <v>163033651.69999996</v>
      </c>
      <c r="V8" s="99">
        <v>121185732.59</v>
      </c>
      <c r="W8" s="99">
        <v>73354432.480000004</v>
      </c>
      <c r="X8" s="100">
        <v>36821440.079999998</v>
      </c>
      <c r="Z8" s="99">
        <v>64399168.819999993</v>
      </c>
      <c r="AA8" s="99">
        <v>72654029.050000042</v>
      </c>
      <c r="AB8" s="99">
        <v>79851968.779999942</v>
      </c>
      <c r="AC8" s="165">
        <v>65615731.980000012</v>
      </c>
      <c r="AD8" s="157">
        <v>77688710.49999997</v>
      </c>
      <c r="AE8" s="99">
        <v>41983456.600000054</v>
      </c>
      <c r="AF8" s="99">
        <v>50609864.209999986</v>
      </c>
      <c r="AG8" s="165">
        <v>37480958.399999999</v>
      </c>
      <c r="AH8" s="99">
        <v>47523043.599999964</v>
      </c>
      <c r="AI8" s="99">
        <v>50701813.070000023</v>
      </c>
      <c r="AJ8" s="99">
        <v>49040159.63000001</v>
      </c>
      <c r="AK8" s="165">
        <v>34370622.769999996</v>
      </c>
      <c r="AL8" s="99">
        <v>77576264.01000002</v>
      </c>
      <c r="AM8" s="99">
        <v>57490241.799999967</v>
      </c>
      <c r="AN8" s="99">
        <v>48049788.980000019</v>
      </c>
      <c r="AO8" s="165">
        <v>50043129.679999992</v>
      </c>
      <c r="AP8" s="99">
        <v>41847919.109999955</v>
      </c>
      <c r="AQ8" s="99">
        <v>47831300.109999999</v>
      </c>
      <c r="AR8" s="99">
        <v>36532992.400000006</v>
      </c>
      <c r="AS8" s="99">
        <v>36821440.079999998</v>
      </c>
    </row>
    <row r="9" spans="1:45" ht="11.25" customHeight="1">
      <c r="B9" s="79" t="s">
        <v>22</v>
      </c>
      <c r="C9" s="80" t="s">
        <v>213</v>
      </c>
      <c r="D9" s="184">
        <v>32983695.630000003</v>
      </c>
      <c r="E9" s="99">
        <v>185788022.44000003</v>
      </c>
      <c r="F9" s="99">
        <v>148755059.61000001</v>
      </c>
      <c r="G9" s="99">
        <v>103029873.28</v>
      </c>
      <c r="H9" s="99">
        <v>50496738.809999995</v>
      </c>
      <c r="I9" s="99">
        <v>140993003.15000001</v>
      </c>
      <c r="J9" s="99">
        <v>86591248.250000015</v>
      </c>
      <c r="K9" s="99">
        <v>59457658.590000004</v>
      </c>
      <c r="L9" s="99">
        <v>26432136.809999999</v>
      </c>
      <c r="M9" s="99">
        <v>97832703.269999996</v>
      </c>
      <c r="N9" s="99">
        <v>70175715.269999981</v>
      </c>
      <c r="O9" s="99">
        <v>39371490.450000003</v>
      </c>
      <c r="P9" s="99">
        <v>11393466.09</v>
      </c>
      <c r="Q9" s="99">
        <v>126238616.62</v>
      </c>
      <c r="R9" s="99">
        <v>84375733.459999993</v>
      </c>
      <c r="S9" s="99">
        <v>55432110.179999992</v>
      </c>
      <c r="T9" s="99">
        <v>31488807.459999997</v>
      </c>
      <c r="U9" s="99">
        <v>80334067.054017305</v>
      </c>
      <c r="V9" s="99">
        <v>60465062.92369087</v>
      </c>
      <c r="W9" s="99">
        <v>38119839.849922463</v>
      </c>
      <c r="X9" s="100">
        <v>18418985.061676167</v>
      </c>
      <c r="Z9" s="99">
        <v>37032962.830000013</v>
      </c>
      <c r="AA9" s="99">
        <v>45725186.330000013</v>
      </c>
      <c r="AB9" s="99">
        <v>52533134.470000006</v>
      </c>
      <c r="AC9" s="165">
        <v>50496738.809999995</v>
      </c>
      <c r="AD9" s="157">
        <v>54401754.899999991</v>
      </c>
      <c r="AE9" s="99">
        <v>27133589.660000011</v>
      </c>
      <c r="AF9" s="99">
        <v>33025521.780000005</v>
      </c>
      <c r="AG9" s="165">
        <v>26432136.809999999</v>
      </c>
      <c r="AH9" s="99">
        <v>27656988.000000015</v>
      </c>
      <c r="AI9" s="99">
        <v>30804224.819999978</v>
      </c>
      <c r="AJ9" s="99">
        <v>27978024.360000003</v>
      </c>
      <c r="AK9" s="165">
        <v>11393466.09</v>
      </c>
      <c r="AL9" s="99">
        <v>41862883.160000011</v>
      </c>
      <c r="AM9" s="99">
        <v>28943623.280000001</v>
      </c>
      <c r="AN9" s="99">
        <v>23943302.719999995</v>
      </c>
      <c r="AO9" s="165">
        <v>31488807.459999997</v>
      </c>
      <c r="AP9" s="99">
        <v>19869004.130326435</v>
      </c>
      <c r="AQ9" s="99">
        <v>22345223.073768407</v>
      </c>
      <c r="AR9" s="99">
        <v>19700854.788246296</v>
      </c>
      <c r="AS9" s="100">
        <v>18418985.061676167</v>
      </c>
    </row>
    <row r="10" spans="1:45" ht="11.25" customHeight="1">
      <c r="B10" s="79" t="s">
        <v>214</v>
      </c>
      <c r="C10" s="80" t="s">
        <v>215</v>
      </c>
      <c r="D10" s="184">
        <v>1646120.74</v>
      </c>
      <c r="E10" s="99">
        <v>4935817.68</v>
      </c>
      <c r="F10" s="99">
        <v>3384039.08</v>
      </c>
      <c r="G10" s="99">
        <v>2347217.02</v>
      </c>
      <c r="H10" s="99">
        <v>1362890.98</v>
      </c>
      <c r="I10" s="99">
        <v>1929136.01</v>
      </c>
      <c r="J10" s="99">
        <v>474377.71</v>
      </c>
      <c r="K10" s="99">
        <v>0</v>
      </c>
      <c r="L10" s="99">
        <v>0</v>
      </c>
      <c r="M10" s="99">
        <v>10950165.25</v>
      </c>
      <c r="N10" s="99">
        <v>10950165.25</v>
      </c>
      <c r="O10" s="99">
        <v>5532629.2699999996</v>
      </c>
      <c r="P10" s="99">
        <v>3311330.84</v>
      </c>
      <c r="Q10" s="99">
        <v>11170234.49</v>
      </c>
      <c r="R10" s="99">
        <v>11088945.57</v>
      </c>
      <c r="S10" s="99">
        <v>4061198.4699999997</v>
      </c>
      <c r="T10" s="99">
        <v>3005250.24</v>
      </c>
      <c r="U10" s="99">
        <v>4912688.1000000006</v>
      </c>
      <c r="V10" s="99">
        <v>4284340.93</v>
      </c>
      <c r="W10" s="99">
        <v>1993019.31</v>
      </c>
      <c r="X10" s="100">
        <v>1978022.2</v>
      </c>
      <c r="Z10" s="99">
        <v>1551778.5999999996</v>
      </c>
      <c r="AA10" s="99">
        <v>1036822.06</v>
      </c>
      <c r="AB10" s="99">
        <v>984326.04</v>
      </c>
      <c r="AC10" s="165">
        <v>1362890.98</v>
      </c>
      <c r="AD10" s="157">
        <v>1454758.3</v>
      </c>
      <c r="AE10" s="99">
        <v>474377.71</v>
      </c>
      <c r="AF10" s="99">
        <v>0</v>
      </c>
      <c r="AG10" s="165">
        <v>0</v>
      </c>
      <c r="AH10" s="99">
        <v>0</v>
      </c>
      <c r="AI10" s="99">
        <v>5417535.9800000004</v>
      </c>
      <c r="AJ10" s="99">
        <v>2221298.4299999997</v>
      </c>
      <c r="AK10" s="165">
        <v>3311330.84</v>
      </c>
      <c r="AL10" s="99">
        <v>81288.919999999925</v>
      </c>
      <c r="AM10" s="99">
        <v>7027747.1000000006</v>
      </c>
      <c r="AN10" s="99">
        <v>1055948.2299999995</v>
      </c>
      <c r="AO10" s="165">
        <v>3005250.24</v>
      </c>
      <c r="AP10" s="99">
        <v>628347.17000000086</v>
      </c>
      <c r="AQ10" s="99">
        <v>2291321.6199999996</v>
      </c>
      <c r="AR10" s="99">
        <v>14997.110000000102</v>
      </c>
      <c r="AS10" s="100">
        <v>1978022.2</v>
      </c>
    </row>
    <row r="11" spans="1:45" ht="5.5" customHeight="1" thickBot="1">
      <c r="B11" s="75"/>
      <c r="C11" s="76"/>
      <c r="D11" s="185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8"/>
      <c r="Z11" s="97"/>
      <c r="AA11" s="97"/>
      <c r="AB11" s="97"/>
      <c r="AC11" s="166"/>
      <c r="AD11" s="158"/>
      <c r="AE11" s="97"/>
      <c r="AF11" s="97"/>
      <c r="AG11" s="166"/>
      <c r="AH11" s="97"/>
      <c r="AI11" s="97"/>
      <c r="AJ11" s="97"/>
      <c r="AK11" s="166"/>
      <c r="AL11" s="97"/>
      <c r="AM11" s="97"/>
      <c r="AN11" s="97"/>
      <c r="AO11" s="166"/>
      <c r="AP11" s="97"/>
      <c r="AQ11" s="97"/>
      <c r="AR11" s="97"/>
      <c r="AS11" s="98"/>
    </row>
    <row r="12" spans="1:45" ht="11" thickBot="1">
      <c r="B12" s="95" t="s">
        <v>216</v>
      </c>
      <c r="C12" s="96" t="s">
        <v>217</v>
      </c>
      <c r="D12" s="186">
        <v>14485620.200000005</v>
      </c>
      <c r="E12" s="105">
        <v>91797058.509999961</v>
      </c>
      <c r="F12" s="105">
        <v>65982631.11999999</v>
      </c>
      <c r="G12" s="105">
        <v>40090610.459999956</v>
      </c>
      <c r="H12" s="105">
        <v>13756102.190000016</v>
      </c>
      <c r="I12" s="105">
        <v>64840850.550000004</v>
      </c>
      <c r="J12" s="105">
        <v>43008653.250000022</v>
      </c>
      <c r="K12" s="105">
        <v>28633164.019999981</v>
      </c>
      <c r="L12" s="105">
        <v>11048821.59</v>
      </c>
      <c r="M12" s="105">
        <v>72852770.549999997</v>
      </c>
      <c r="N12" s="105">
        <v>52986714.950000048</v>
      </c>
      <c r="O12" s="105">
        <v>38506662.680000007</v>
      </c>
      <c r="P12" s="105">
        <v>19665825.839999996</v>
      </c>
      <c r="Q12" s="105">
        <v>95750573.359999999</v>
      </c>
      <c r="R12" s="105">
        <v>60118481.429999985</v>
      </c>
      <c r="S12" s="105">
        <v>38599610.01000002</v>
      </c>
      <c r="T12" s="105">
        <v>15549071.979999995</v>
      </c>
      <c r="U12" s="105">
        <v>77786896.545982659</v>
      </c>
      <c r="V12" s="105">
        <v>56436328.736309133</v>
      </c>
      <c r="W12" s="105">
        <v>33241573.320077542</v>
      </c>
      <c r="X12" s="106">
        <v>16424432.818323832</v>
      </c>
      <c r="Z12" s="105">
        <v>25814427.389999978</v>
      </c>
      <c r="AA12" s="105">
        <v>25892020.66000003</v>
      </c>
      <c r="AB12" s="105">
        <v>26334508.269999936</v>
      </c>
      <c r="AC12" s="167">
        <v>13756102.190000016</v>
      </c>
      <c r="AD12" s="159">
        <v>21832197.299999978</v>
      </c>
      <c r="AE12" s="105">
        <v>14375489.230000041</v>
      </c>
      <c r="AF12" s="105">
        <v>17584342.429999981</v>
      </c>
      <c r="AG12" s="167">
        <v>11048821.59</v>
      </c>
      <c r="AH12" s="105">
        <v>19866055.599999949</v>
      </c>
      <c r="AI12" s="105">
        <v>14480052.270000044</v>
      </c>
      <c r="AJ12" s="105">
        <v>18840836.840000007</v>
      </c>
      <c r="AK12" s="167">
        <v>19665825.839999996</v>
      </c>
      <c r="AL12" s="105">
        <v>35632091.930000007</v>
      </c>
      <c r="AM12" s="105">
        <v>21518871.419999965</v>
      </c>
      <c r="AN12" s="105">
        <v>23050538.030000024</v>
      </c>
      <c r="AO12" s="167">
        <v>15549071.979999995</v>
      </c>
      <c r="AP12" s="105">
        <v>21350567.809673518</v>
      </c>
      <c r="AQ12" s="105">
        <v>23194755.416231591</v>
      </c>
      <c r="AR12" s="105">
        <v>16817140.50175371</v>
      </c>
      <c r="AS12" s="106">
        <v>16424432.818323832</v>
      </c>
    </row>
    <row r="13" spans="1:45" ht="5.5" customHeight="1">
      <c r="B13" s="75"/>
      <c r="C13" s="76"/>
      <c r="D13" s="185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8"/>
      <c r="Z13" s="97"/>
      <c r="AA13" s="97"/>
      <c r="AB13" s="97"/>
      <c r="AC13" s="166"/>
      <c r="AD13" s="158"/>
      <c r="AE13" s="97"/>
      <c r="AF13" s="97"/>
      <c r="AG13" s="166"/>
      <c r="AH13" s="97"/>
      <c r="AI13" s="97"/>
      <c r="AJ13" s="97"/>
      <c r="AK13" s="166"/>
      <c r="AL13" s="97"/>
      <c r="AM13" s="97"/>
      <c r="AN13" s="97"/>
      <c r="AO13" s="166"/>
      <c r="AP13" s="97"/>
      <c r="AQ13" s="97"/>
      <c r="AR13" s="97"/>
      <c r="AS13" s="98"/>
    </row>
    <row r="14" spans="1:45">
      <c r="B14" s="79" t="s">
        <v>23</v>
      </c>
      <c r="C14" s="80" t="s">
        <v>220</v>
      </c>
      <c r="D14" s="184">
        <v>10072260.82</v>
      </c>
      <c r="E14" s="99">
        <v>37097801.090000004</v>
      </c>
      <c r="F14" s="99">
        <v>27240192.859999999</v>
      </c>
      <c r="G14" s="99">
        <v>18253267.410000004</v>
      </c>
      <c r="H14" s="99">
        <v>8751486.1999999993</v>
      </c>
      <c r="I14" s="99">
        <v>36117934.700000003</v>
      </c>
      <c r="J14" s="99">
        <v>26918296.129999999</v>
      </c>
      <c r="K14" s="99">
        <v>18706962.120000001</v>
      </c>
      <c r="L14" s="99">
        <v>8569747.5199999996</v>
      </c>
      <c r="M14" s="99">
        <v>40990477.370000005</v>
      </c>
      <c r="N14" s="99">
        <v>28508954.710000001</v>
      </c>
      <c r="O14" s="99">
        <v>17450427.539999999</v>
      </c>
      <c r="P14" s="99">
        <v>8884424.5299999975</v>
      </c>
      <c r="Q14" s="99">
        <v>35067361.149999999</v>
      </c>
      <c r="R14" s="99">
        <v>24837754.23</v>
      </c>
      <c r="S14" s="99">
        <v>15654773.390000001</v>
      </c>
      <c r="T14" s="99">
        <v>7756150.8500000006</v>
      </c>
      <c r="U14" s="99">
        <v>31792909.805982705</v>
      </c>
      <c r="V14" s="99">
        <v>23175881.076309141</v>
      </c>
      <c r="W14" s="99">
        <v>15527527.830077533</v>
      </c>
      <c r="X14" s="100">
        <v>7641935.8283238336</v>
      </c>
      <c r="Z14" s="99">
        <v>9857608.2300000042</v>
      </c>
      <c r="AA14" s="99">
        <v>8986925.4499999955</v>
      </c>
      <c r="AB14" s="99">
        <v>9501781.2100000046</v>
      </c>
      <c r="AC14" s="165">
        <v>8751486.1999999993</v>
      </c>
      <c r="AD14" s="157">
        <v>9199638.570000004</v>
      </c>
      <c r="AE14" s="99">
        <v>8211334.0099999979</v>
      </c>
      <c r="AF14" s="99">
        <v>10137214.600000001</v>
      </c>
      <c r="AG14" s="165">
        <v>8569747.5199999996</v>
      </c>
      <c r="AH14" s="99">
        <v>12481522.660000004</v>
      </c>
      <c r="AI14" s="99">
        <v>11058527.170000002</v>
      </c>
      <c r="AJ14" s="99">
        <v>8566003.0100000016</v>
      </c>
      <c r="AK14" s="165">
        <v>8884424.5299999975</v>
      </c>
      <c r="AL14" s="99">
        <v>10229606.919999998</v>
      </c>
      <c r="AM14" s="99">
        <v>9182980.8399999999</v>
      </c>
      <c r="AN14" s="99">
        <v>7898622.54</v>
      </c>
      <c r="AO14" s="165">
        <v>7756150.8500000006</v>
      </c>
      <c r="AP14" s="99">
        <v>8617028.7296735644</v>
      </c>
      <c r="AQ14" s="99">
        <v>7648353.2462316081</v>
      </c>
      <c r="AR14" s="99">
        <v>7885592.001753699</v>
      </c>
      <c r="AS14" s="100">
        <v>7641935.8283238336</v>
      </c>
    </row>
    <row r="15" spans="1:45">
      <c r="B15" s="79" t="s">
        <v>221</v>
      </c>
      <c r="C15" s="80" t="s">
        <v>222</v>
      </c>
      <c r="D15" s="184">
        <v>8707148.7400000021</v>
      </c>
      <c r="E15" s="99">
        <v>36301494.140000008</v>
      </c>
      <c r="F15" s="99">
        <v>26354014.129999995</v>
      </c>
      <c r="G15" s="99">
        <v>17227884.430000003</v>
      </c>
      <c r="H15" s="99">
        <v>8263277.0199999996</v>
      </c>
      <c r="I15" s="99">
        <v>31081197.84</v>
      </c>
      <c r="J15" s="99">
        <v>23197214.390000001</v>
      </c>
      <c r="K15" s="99">
        <v>15721243.659999998</v>
      </c>
      <c r="L15" s="99">
        <v>7089662.4299999997</v>
      </c>
      <c r="M15" s="99">
        <v>30467396.73</v>
      </c>
      <c r="N15" s="99">
        <v>22861440.319999997</v>
      </c>
      <c r="O15" s="99">
        <v>15047189.24</v>
      </c>
      <c r="P15" s="99">
        <v>7097417.3099999996</v>
      </c>
      <c r="Q15" s="99">
        <v>30273229.599999998</v>
      </c>
      <c r="R15" s="99">
        <v>22208125.399999999</v>
      </c>
      <c r="S15" s="99">
        <v>14777803.020000001</v>
      </c>
      <c r="T15" s="99">
        <v>6845702.04</v>
      </c>
      <c r="U15" s="99">
        <v>27900443.430000003</v>
      </c>
      <c r="V15" s="99">
        <v>20920556.089999996</v>
      </c>
      <c r="W15" s="99">
        <v>14304808.369999999</v>
      </c>
      <c r="X15" s="100">
        <v>6759192.2199999997</v>
      </c>
      <c r="Z15" s="99">
        <v>9947480.0100000128</v>
      </c>
      <c r="AA15" s="99">
        <v>9126129.6999999918</v>
      </c>
      <c r="AB15" s="99">
        <v>8964607.4100000039</v>
      </c>
      <c r="AC15" s="165">
        <v>8263277.0199999996</v>
      </c>
      <c r="AD15" s="157">
        <v>7883983.4499999993</v>
      </c>
      <c r="AE15" s="99">
        <v>7475970.7300000023</v>
      </c>
      <c r="AF15" s="99">
        <v>8631581.2299999986</v>
      </c>
      <c r="AG15" s="165">
        <v>7089662.4299999997</v>
      </c>
      <c r="AH15" s="99">
        <v>7605956.4100000039</v>
      </c>
      <c r="AI15" s="99">
        <v>7814251.0799999963</v>
      </c>
      <c r="AJ15" s="99">
        <v>7949771.9300000006</v>
      </c>
      <c r="AK15" s="165">
        <v>7097417.3099999996</v>
      </c>
      <c r="AL15" s="99">
        <v>8065104.1999999993</v>
      </c>
      <c r="AM15" s="99">
        <v>7430322.3799999971</v>
      </c>
      <c r="AN15" s="99">
        <v>7932100.9800000014</v>
      </c>
      <c r="AO15" s="165">
        <v>6845702.04</v>
      </c>
      <c r="AP15" s="99">
        <v>6979887.3400000073</v>
      </c>
      <c r="AQ15" s="99">
        <v>6615747.7199999969</v>
      </c>
      <c r="AR15" s="99">
        <v>7545616.1499999994</v>
      </c>
      <c r="AS15" s="100">
        <v>6759192.2199999997</v>
      </c>
    </row>
    <row r="16" spans="1:45">
      <c r="B16" s="79" t="s">
        <v>223</v>
      </c>
      <c r="C16" s="80" t="s">
        <v>224</v>
      </c>
      <c r="D16" s="184">
        <v>1089439.3799999999</v>
      </c>
      <c r="E16" s="99">
        <v>3975435.8</v>
      </c>
      <c r="F16" s="99">
        <v>2949316.9</v>
      </c>
      <c r="G16" s="99">
        <v>2210585.6999999997</v>
      </c>
      <c r="H16" s="99">
        <v>982858.27</v>
      </c>
      <c r="I16" s="99">
        <v>4043390.08</v>
      </c>
      <c r="J16" s="99">
        <v>2972500.8</v>
      </c>
      <c r="K16" s="99">
        <v>1836799.7999999998</v>
      </c>
      <c r="L16" s="99">
        <v>756906.72</v>
      </c>
      <c r="M16" s="99">
        <v>5503682.2599999998</v>
      </c>
      <c r="N16" s="99">
        <v>4009578.74</v>
      </c>
      <c r="O16" s="99">
        <v>2637504.9</v>
      </c>
      <c r="P16" s="99">
        <v>1205165.58</v>
      </c>
      <c r="Q16" s="99">
        <v>5336793.0599999996</v>
      </c>
      <c r="R16" s="99">
        <v>4244830.17</v>
      </c>
      <c r="S16" s="99">
        <v>2463239.0099999998</v>
      </c>
      <c r="T16" s="99">
        <v>1028815.96</v>
      </c>
      <c r="U16" s="99">
        <v>4664798.62</v>
      </c>
      <c r="V16" s="99">
        <v>3435675.38</v>
      </c>
      <c r="W16" s="99">
        <v>2292187.7400000002</v>
      </c>
      <c r="X16" s="100">
        <v>1319038.51</v>
      </c>
      <c r="Z16" s="99">
        <v>1026118.8999999999</v>
      </c>
      <c r="AA16" s="99">
        <v>738731.20000000019</v>
      </c>
      <c r="AB16" s="99">
        <v>1227727.4299999997</v>
      </c>
      <c r="AC16" s="165">
        <v>982858.27</v>
      </c>
      <c r="AD16" s="157">
        <v>1070889.2800000003</v>
      </c>
      <c r="AE16" s="99">
        <v>1135701</v>
      </c>
      <c r="AF16" s="99">
        <v>1079893.0799999998</v>
      </c>
      <c r="AG16" s="165">
        <v>756906.72</v>
      </c>
      <c r="AH16" s="99">
        <v>1494103.5199999996</v>
      </c>
      <c r="AI16" s="99">
        <v>1372073.8400000003</v>
      </c>
      <c r="AJ16" s="99">
        <v>1432339.3199999998</v>
      </c>
      <c r="AK16" s="165">
        <v>1205165.58</v>
      </c>
      <c r="AL16" s="99">
        <v>1091962.8899999997</v>
      </c>
      <c r="AM16" s="99">
        <v>1781591.1600000001</v>
      </c>
      <c r="AN16" s="99">
        <v>1434423.0499999998</v>
      </c>
      <c r="AO16" s="165">
        <v>1028815.96</v>
      </c>
      <c r="AP16" s="99">
        <v>1229123.2400000002</v>
      </c>
      <c r="AQ16" s="99">
        <v>1143487.6399999997</v>
      </c>
      <c r="AR16" s="99">
        <v>973149.23000000021</v>
      </c>
      <c r="AS16" s="100">
        <v>1319038.51</v>
      </c>
    </row>
    <row r="17" spans="2:45" ht="5.5" customHeight="1">
      <c r="B17" s="75"/>
      <c r="C17" s="76"/>
      <c r="D17" s="185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8"/>
      <c r="Z17" s="97"/>
      <c r="AA17" s="97"/>
      <c r="AB17" s="97"/>
      <c r="AC17" s="166"/>
      <c r="AD17" s="158"/>
      <c r="AE17" s="97"/>
      <c r="AF17" s="97"/>
      <c r="AG17" s="166"/>
      <c r="AH17" s="97"/>
      <c r="AI17" s="97"/>
      <c r="AJ17" s="97"/>
      <c r="AK17" s="166"/>
      <c r="AL17" s="97"/>
      <c r="AM17" s="97"/>
      <c r="AN17" s="97"/>
      <c r="AO17" s="166"/>
      <c r="AP17" s="97"/>
      <c r="AQ17" s="97"/>
      <c r="AR17" s="97"/>
      <c r="AS17" s="98"/>
    </row>
    <row r="18" spans="2:45">
      <c r="B18" s="79" t="s">
        <v>218</v>
      </c>
      <c r="C18" s="80" t="s">
        <v>219</v>
      </c>
      <c r="D18" s="184">
        <v>3143838.66</v>
      </c>
      <c r="E18" s="99">
        <v>2944304.7600000012</v>
      </c>
      <c r="F18" s="99">
        <v>2385045.4499999993</v>
      </c>
      <c r="G18" s="99">
        <v>1988315.6099999996</v>
      </c>
      <c r="H18" s="99">
        <v>1560753.8400000003</v>
      </c>
      <c r="I18" s="99">
        <v>2644655.5400000005</v>
      </c>
      <c r="J18" s="99">
        <v>1635573.8599999999</v>
      </c>
      <c r="K18" s="99">
        <v>2060248.5</v>
      </c>
      <c r="L18" s="99">
        <v>1006224.97</v>
      </c>
      <c r="M18" s="99">
        <v>21668107.100000001</v>
      </c>
      <c r="N18" s="99">
        <v>9382291.2999999989</v>
      </c>
      <c r="O18" s="99">
        <v>4933613.42</v>
      </c>
      <c r="P18" s="99">
        <v>1762920.99</v>
      </c>
      <c r="Q18" s="99">
        <v>6817966.9000000004</v>
      </c>
      <c r="R18" s="99">
        <v>5412046.7200000007</v>
      </c>
      <c r="S18" s="99">
        <v>3408334.2499999995</v>
      </c>
      <c r="T18" s="99">
        <v>2787831.1599999997</v>
      </c>
      <c r="U18" s="99">
        <v>5945962.1899999995</v>
      </c>
      <c r="V18" s="99">
        <v>9604822.6400000006</v>
      </c>
      <c r="W18" s="99">
        <v>4526159.0700000012</v>
      </c>
      <c r="X18" s="100">
        <v>2789615.08</v>
      </c>
      <c r="Z18" s="99">
        <v>559259.31000000192</v>
      </c>
      <c r="AA18" s="99">
        <v>396729.83999999962</v>
      </c>
      <c r="AB18" s="99">
        <v>427561.76999999932</v>
      </c>
      <c r="AC18" s="165">
        <v>1560753.8400000003</v>
      </c>
      <c r="AD18" s="157">
        <v>1009081.6800000006</v>
      </c>
      <c r="AE18" s="99">
        <v>-424674.64000000013</v>
      </c>
      <c r="AF18" s="99">
        <v>1054023.53</v>
      </c>
      <c r="AG18" s="165">
        <v>1006224.97</v>
      </c>
      <c r="AH18" s="99">
        <v>12285815.800000003</v>
      </c>
      <c r="AI18" s="99">
        <v>4448677.879999999</v>
      </c>
      <c r="AJ18" s="99">
        <v>3170692.4299999997</v>
      </c>
      <c r="AK18" s="165">
        <v>1762920.99</v>
      </c>
      <c r="AL18" s="99">
        <v>1405920.1799999997</v>
      </c>
      <c r="AM18" s="99">
        <v>2003712.4700000011</v>
      </c>
      <c r="AN18" s="99">
        <v>620503.08999999985</v>
      </c>
      <c r="AO18" s="165">
        <v>2787831.1599999997</v>
      </c>
      <c r="AP18" s="99">
        <v>-3658860.4500000011</v>
      </c>
      <c r="AQ18" s="99">
        <v>5078663.5699999994</v>
      </c>
      <c r="AR18" s="99">
        <v>1736543.9900000012</v>
      </c>
      <c r="AS18" s="100">
        <v>2789615.08</v>
      </c>
    </row>
    <row r="19" spans="2:45">
      <c r="B19" s="79" t="s">
        <v>225</v>
      </c>
      <c r="C19" s="80" t="s">
        <v>226</v>
      </c>
      <c r="D19" s="184">
        <v>1802197.65</v>
      </c>
      <c r="E19" s="99">
        <v>4041220.1899999995</v>
      </c>
      <c r="F19" s="99">
        <v>2352686.8199999998</v>
      </c>
      <c r="G19" s="99">
        <v>2205811.63</v>
      </c>
      <c r="H19" s="99">
        <v>1456237.6600000001</v>
      </c>
      <c r="I19" s="99">
        <v>1951897.08</v>
      </c>
      <c r="J19" s="99">
        <v>367039.82999999984</v>
      </c>
      <c r="K19" s="99">
        <v>1201883.7300000004</v>
      </c>
      <c r="L19" s="99">
        <v>1107165.72</v>
      </c>
      <c r="M19" s="99">
        <v>2264315.58</v>
      </c>
      <c r="N19" s="99">
        <v>2377662.2800000003</v>
      </c>
      <c r="O19" s="99">
        <v>1683413.07</v>
      </c>
      <c r="P19" s="99">
        <v>1637916.3199999998</v>
      </c>
      <c r="Q19" s="99">
        <v>10633047.93</v>
      </c>
      <c r="R19" s="99">
        <v>3894983.99</v>
      </c>
      <c r="S19" s="99">
        <v>2626884.0799999996</v>
      </c>
      <c r="T19" s="99">
        <v>2160568.1200000006</v>
      </c>
      <c r="U19" s="99">
        <v>5032683.3199999994</v>
      </c>
      <c r="V19" s="99">
        <v>7172220</v>
      </c>
      <c r="W19" s="99">
        <v>2897116.7899999996</v>
      </c>
      <c r="X19" s="100">
        <v>3305902.19</v>
      </c>
      <c r="Z19" s="99">
        <v>1688533.3699999996</v>
      </c>
      <c r="AA19" s="99">
        <v>146875.18999999994</v>
      </c>
      <c r="AB19" s="99">
        <v>749573.96999999974</v>
      </c>
      <c r="AC19" s="165">
        <v>1456237.6600000001</v>
      </c>
      <c r="AD19" s="157">
        <v>1584857.2500000002</v>
      </c>
      <c r="AE19" s="99">
        <v>-834843.90000000061</v>
      </c>
      <c r="AF19" s="99">
        <v>94718.010000000475</v>
      </c>
      <c r="AG19" s="165">
        <v>1107165.72</v>
      </c>
      <c r="AH19" s="99">
        <v>-113346.70000000019</v>
      </c>
      <c r="AI19" s="99">
        <v>694249.2100000002</v>
      </c>
      <c r="AJ19" s="99">
        <v>45496.750000000233</v>
      </c>
      <c r="AK19" s="165">
        <v>1637916.3199999998</v>
      </c>
      <c r="AL19" s="99">
        <v>6738063.9399999995</v>
      </c>
      <c r="AM19" s="99">
        <v>1268099.9100000006</v>
      </c>
      <c r="AN19" s="99">
        <v>466315.95999999903</v>
      </c>
      <c r="AO19" s="165">
        <v>2160568.1200000006</v>
      </c>
      <c r="AP19" s="99">
        <v>-2139536.6800000006</v>
      </c>
      <c r="AQ19" s="99">
        <v>4275103.2100000009</v>
      </c>
      <c r="AR19" s="99">
        <v>-408785.40000000037</v>
      </c>
      <c r="AS19" s="100">
        <v>3305902.19</v>
      </c>
    </row>
    <row r="20" spans="2:45" ht="5.5" customHeight="1">
      <c r="B20" s="91"/>
      <c r="C20" s="92"/>
      <c r="D20" s="187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2"/>
      <c r="Z20" s="101"/>
      <c r="AA20" s="101"/>
      <c r="AB20" s="101"/>
      <c r="AC20" s="168"/>
      <c r="AD20" s="160"/>
      <c r="AE20" s="101"/>
      <c r="AF20" s="101"/>
      <c r="AG20" s="168"/>
      <c r="AH20" s="101"/>
      <c r="AI20" s="101"/>
      <c r="AJ20" s="101"/>
      <c r="AK20" s="168"/>
      <c r="AL20" s="101"/>
      <c r="AM20" s="101"/>
      <c r="AN20" s="101"/>
      <c r="AO20" s="168"/>
      <c r="AP20" s="101"/>
      <c r="AQ20" s="101"/>
      <c r="AR20" s="101"/>
      <c r="AS20" s="102"/>
    </row>
    <row r="21" spans="2:45">
      <c r="B21" s="117" t="s">
        <v>234</v>
      </c>
      <c r="C21" s="118" t="s">
        <v>233</v>
      </c>
      <c r="D21" s="188">
        <v>1341641.0100000002</v>
      </c>
      <c r="E21" s="119">
        <v>-1096915.4299999983</v>
      </c>
      <c r="F21" s="119">
        <v>32358.629999999423</v>
      </c>
      <c r="G21" s="119">
        <v>-217496.02000000025</v>
      </c>
      <c r="H21" s="119">
        <v>104516.18000000017</v>
      </c>
      <c r="I21" s="119">
        <v>692758.46000000043</v>
      </c>
      <c r="J21" s="119">
        <v>1268534.03</v>
      </c>
      <c r="K21" s="119">
        <v>858364.76999999955</v>
      </c>
      <c r="L21" s="119">
        <v>-100940.75</v>
      </c>
      <c r="M21" s="119">
        <v>19403791.520000003</v>
      </c>
      <c r="N21" s="119">
        <v>7004629.0199999986</v>
      </c>
      <c r="O21" s="119">
        <v>3250200.3499999996</v>
      </c>
      <c r="P21" s="119">
        <v>125004.67000000016</v>
      </c>
      <c r="Q21" s="119">
        <v>-3815081.0299999993</v>
      </c>
      <c r="R21" s="119">
        <v>1517062.7300000004</v>
      </c>
      <c r="S21" s="119">
        <v>781450.16999999993</v>
      </c>
      <c r="T21" s="119">
        <v>627263.03999999911</v>
      </c>
      <c r="U21" s="119">
        <v>913278.87000000011</v>
      </c>
      <c r="V21" s="119">
        <v>2432602.6400000006</v>
      </c>
      <c r="W21" s="119">
        <v>1629042.2800000017</v>
      </c>
      <c r="X21" s="120">
        <v>-516287.10999999987</v>
      </c>
      <c r="Z21" s="119">
        <v>-1129274.0599999977</v>
      </c>
      <c r="AA21" s="119">
        <v>249854.64999999967</v>
      </c>
      <c r="AB21" s="119">
        <v>-322012.20000000042</v>
      </c>
      <c r="AC21" s="169">
        <v>104516.18000000017</v>
      </c>
      <c r="AD21" s="161">
        <v>-575775.5699999996</v>
      </c>
      <c r="AE21" s="119">
        <v>410169.26000000047</v>
      </c>
      <c r="AF21" s="119">
        <v>959305.51999999955</v>
      </c>
      <c r="AG21" s="169">
        <v>-100940.75</v>
      </c>
      <c r="AH21" s="119">
        <v>12399162.500000004</v>
      </c>
      <c r="AI21" s="119">
        <v>3754428.669999999</v>
      </c>
      <c r="AJ21" s="119">
        <v>3125195.6799999997</v>
      </c>
      <c r="AK21" s="169">
        <v>125004.67000000016</v>
      </c>
      <c r="AL21" s="119">
        <v>-5332143.76</v>
      </c>
      <c r="AM21" s="119">
        <v>735612.56000000052</v>
      </c>
      <c r="AN21" s="119">
        <v>154187.13000000082</v>
      </c>
      <c r="AO21" s="169">
        <v>627263.03999999911</v>
      </c>
      <c r="AP21" s="119">
        <v>-1519323.7700000005</v>
      </c>
      <c r="AQ21" s="119">
        <v>803560.35999999847</v>
      </c>
      <c r="AR21" s="119">
        <v>2145329.3900000015</v>
      </c>
      <c r="AS21" s="120">
        <v>-516287.10999999987</v>
      </c>
    </row>
    <row r="22" spans="2:45" ht="5.5" customHeight="1" thickBot="1">
      <c r="B22" s="93"/>
      <c r="C22" s="94"/>
      <c r="D22" s="189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4"/>
      <c r="Z22" s="103"/>
      <c r="AA22" s="103"/>
      <c r="AB22" s="103"/>
      <c r="AC22" s="170"/>
      <c r="AD22" s="162"/>
      <c r="AE22" s="103"/>
      <c r="AF22" s="103"/>
      <c r="AG22" s="170"/>
      <c r="AH22" s="103"/>
      <c r="AI22" s="103"/>
      <c r="AJ22" s="103"/>
      <c r="AK22" s="170"/>
      <c r="AL22" s="103"/>
      <c r="AM22" s="103"/>
      <c r="AN22" s="103"/>
      <c r="AO22" s="170"/>
      <c r="AP22" s="103"/>
      <c r="AQ22" s="103"/>
      <c r="AR22" s="103"/>
      <c r="AS22" s="104"/>
    </row>
    <row r="23" spans="2:45" ht="11" thickBot="1">
      <c r="B23" s="95" t="s">
        <v>227</v>
      </c>
      <c r="C23" s="96" t="s">
        <v>228</v>
      </c>
      <c r="D23" s="186">
        <v>-4041587.7299999963</v>
      </c>
      <c r="E23" s="105">
        <v>13325412.049999947</v>
      </c>
      <c r="F23" s="105">
        <v>9471465.8599999957</v>
      </c>
      <c r="G23" s="105">
        <v>2181376.8999999491</v>
      </c>
      <c r="H23" s="105">
        <v>-4137003.119999982</v>
      </c>
      <c r="I23" s="105">
        <v>-5708913.6099999994</v>
      </c>
      <c r="J23" s="105">
        <v>-8810824.0399999712</v>
      </c>
      <c r="K23" s="105">
        <v>-6773476.7900000177</v>
      </c>
      <c r="L23" s="105">
        <v>-5468435.8300000001</v>
      </c>
      <c r="M23" s="105">
        <v>15295005.709999986</v>
      </c>
      <c r="N23" s="105">
        <v>4611370.200000043</v>
      </c>
      <c r="O23" s="105">
        <v>6621741.3500000071</v>
      </c>
      <c r="P23" s="105">
        <v>2603823.0900000017</v>
      </c>
      <c r="Q23" s="105">
        <v>21258108.519999996</v>
      </c>
      <c r="R23" s="105">
        <v>10344834.359999988</v>
      </c>
      <c r="S23" s="105">
        <v>6485244.7600000184</v>
      </c>
      <c r="T23" s="105">
        <v>545666.16999999247</v>
      </c>
      <c r="U23" s="105">
        <v>14342023.559999954</v>
      </c>
      <c r="V23" s="105">
        <v>11336818.829999998</v>
      </c>
      <c r="W23" s="105">
        <v>2746091.6600000081</v>
      </c>
      <c r="X23" s="106">
        <v>187979.14999999991</v>
      </c>
      <c r="Z23" s="105">
        <v>3853946.189999965</v>
      </c>
      <c r="AA23" s="105">
        <v>7290088.9600000428</v>
      </c>
      <c r="AB23" s="105">
        <v>6318380.0199999278</v>
      </c>
      <c r="AC23" s="167">
        <v>-4137003.119999982</v>
      </c>
      <c r="AD23" s="159">
        <v>3101910.4299999746</v>
      </c>
      <c r="AE23" s="105">
        <v>-2037347.2499999602</v>
      </c>
      <c r="AF23" s="105">
        <v>-1305040.9600000158</v>
      </c>
      <c r="AG23" s="167">
        <v>-5468435.8300000001</v>
      </c>
      <c r="AH23" s="105">
        <v>10683635.509999946</v>
      </c>
      <c r="AI23" s="105">
        <v>-2010371.1499999566</v>
      </c>
      <c r="AJ23" s="105">
        <v>4017918.2600000054</v>
      </c>
      <c r="AK23" s="167">
        <v>2603823.0900000017</v>
      </c>
      <c r="AL23" s="105">
        <v>10913274.160000009</v>
      </c>
      <c r="AM23" s="105">
        <v>3859589.5999999698</v>
      </c>
      <c r="AN23" s="105">
        <v>5939578.5900000241</v>
      </c>
      <c r="AO23" s="167">
        <v>545666.16999999247</v>
      </c>
      <c r="AP23" s="105">
        <v>3005204.7299999474</v>
      </c>
      <c r="AQ23" s="105">
        <v>8590727.1699999869</v>
      </c>
      <c r="AR23" s="105">
        <v>2558112.5100000137</v>
      </c>
      <c r="AS23" s="106">
        <v>187979.14999999991</v>
      </c>
    </row>
    <row r="24" spans="2:45" ht="5.5" customHeight="1">
      <c r="B24" s="75"/>
      <c r="C24" s="76"/>
      <c r="D24" s="185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8"/>
      <c r="Z24" s="97"/>
      <c r="AA24" s="97"/>
      <c r="AB24" s="97"/>
      <c r="AC24" s="166"/>
      <c r="AD24" s="158"/>
      <c r="AE24" s="97"/>
      <c r="AF24" s="97"/>
      <c r="AG24" s="166"/>
      <c r="AH24" s="97"/>
      <c r="AI24" s="97"/>
      <c r="AJ24" s="97"/>
      <c r="AK24" s="166"/>
      <c r="AL24" s="97"/>
      <c r="AM24" s="97"/>
      <c r="AN24" s="97"/>
      <c r="AO24" s="166"/>
      <c r="AP24" s="97"/>
      <c r="AQ24" s="97"/>
      <c r="AR24" s="97"/>
      <c r="AS24" s="98"/>
    </row>
    <row r="25" spans="2:45">
      <c r="B25" s="79" t="s">
        <v>20</v>
      </c>
      <c r="C25" s="80" t="s">
        <v>229</v>
      </c>
      <c r="D25" s="184">
        <v>436620.93008800037</v>
      </c>
      <c r="E25" s="99">
        <v>352398.84490400052</v>
      </c>
      <c r="F25" s="99">
        <v>352398.83524999977</v>
      </c>
      <c r="G25" s="99">
        <v>352398.83967499994</v>
      </c>
      <c r="H25" s="99">
        <v>-4.4000000998494215E-3</v>
      </c>
      <c r="I25" s="99">
        <v>1987794.4336199998</v>
      </c>
      <c r="J25" s="99">
        <v>2363660.4872379988</v>
      </c>
      <c r="K25" s="99">
        <v>2119831.0253799995</v>
      </c>
      <c r="L25" s="99">
        <v>1652144.563687</v>
      </c>
      <c r="M25" s="99">
        <v>366197.68255999999</v>
      </c>
      <c r="N25" s="99">
        <v>-3.1800001888768747E-3</v>
      </c>
      <c r="O25" s="99">
        <v>267078.35208100057</v>
      </c>
      <c r="P25" s="99">
        <v>151890.18508000023</v>
      </c>
      <c r="Q25" s="99">
        <v>3.5019997685594717E-3</v>
      </c>
      <c r="R25" s="99">
        <v>-3.3360004163114354E-3</v>
      </c>
      <c r="S25" s="99">
        <v>-5.5200022416102001E-4</v>
      </c>
      <c r="T25" s="99">
        <v>-2.3749998008497641E-3</v>
      </c>
      <c r="U25" s="99">
        <v>8.9428119998050892</v>
      </c>
      <c r="V25" s="99">
        <v>1.3585999795177486E-2</v>
      </c>
      <c r="W25" s="99">
        <v>1530625.7635120004</v>
      </c>
      <c r="X25" s="100">
        <v>3.4640000194485765E-3</v>
      </c>
      <c r="Z25" s="99">
        <v>9.6540007507428527E-3</v>
      </c>
      <c r="AA25" s="99">
        <v>-4.4250001665204763E-3</v>
      </c>
      <c r="AB25" s="99">
        <v>352398.84407500003</v>
      </c>
      <c r="AC25" s="165">
        <v>-4.4000000998494215E-3</v>
      </c>
      <c r="AD25" s="157">
        <v>-375866.05361799896</v>
      </c>
      <c r="AE25" s="99">
        <v>243829.46185799921</v>
      </c>
      <c r="AF25" s="99">
        <v>467686.46169299958</v>
      </c>
      <c r="AG25" s="165">
        <v>1652144.563687</v>
      </c>
      <c r="AH25" s="99">
        <v>366197.68574000016</v>
      </c>
      <c r="AI25" s="99">
        <v>-267078.35526100075</v>
      </c>
      <c r="AJ25" s="99">
        <v>115188.16700100034</v>
      </c>
      <c r="AK25" s="165">
        <v>151890.18508000023</v>
      </c>
      <c r="AL25" s="99">
        <v>6.8380001848709071E-3</v>
      </c>
      <c r="AM25" s="99">
        <v>-2.7840001921504154E-3</v>
      </c>
      <c r="AN25" s="99">
        <v>1.8229995766887441E-3</v>
      </c>
      <c r="AO25" s="165">
        <v>-2.3749998008497641E-3</v>
      </c>
      <c r="AP25" s="99">
        <v>8.929226000009912</v>
      </c>
      <c r="AQ25" s="99">
        <v>-1530625.7499260006</v>
      </c>
      <c r="AR25" s="99">
        <v>1530625.7600480004</v>
      </c>
      <c r="AS25" s="100">
        <v>3.4640000194485765E-3</v>
      </c>
    </row>
    <row r="26" spans="2:45">
      <c r="B26" s="79" t="s">
        <v>21</v>
      </c>
      <c r="C26" s="80" t="s">
        <v>230</v>
      </c>
      <c r="D26" s="184">
        <v>1617379.22</v>
      </c>
      <c r="E26" s="99">
        <v>5847026.620000001</v>
      </c>
      <c r="F26" s="99">
        <v>4921895.4000000004</v>
      </c>
      <c r="G26" s="99">
        <v>3685107.25</v>
      </c>
      <c r="H26" s="99">
        <v>2168667.56</v>
      </c>
      <c r="I26" s="99">
        <v>8159324.5599999987</v>
      </c>
      <c r="J26" s="99">
        <v>5438765.830000001</v>
      </c>
      <c r="K26" s="99">
        <v>3678130.6499999994</v>
      </c>
      <c r="L26" s="99">
        <v>1692544.8499999999</v>
      </c>
      <c r="M26" s="99">
        <v>8426604.0800000001</v>
      </c>
      <c r="N26" s="99">
        <v>6226363.919999999</v>
      </c>
      <c r="O26" s="99">
        <v>4081425.69</v>
      </c>
      <c r="P26" s="99">
        <v>2016801.8199999998</v>
      </c>
      <c r="Q26" s="99">
        <v>16306322.100000001</v>
      </c>
      <c r="R26" s="99">
        <v>12717171.739999998</v>
      </c>
      <c r="S26" s="99">
        <v>6927695.8200000003</v>
      </c>
      <c r="T26" s="99">
        <v>2352864.9400000004</v>
      </c>
      <c r="U26" s="99">
        <v>6011488.5800000001</v>
      </c>
      <c r="V26" s="99">
        <v>3800258.63</v>
      </c>
      <c r="W26" s="99">
        <v>2467555.2000000002</v>
      </c>
      <c r="X26" s="100">
        <v>2838190.46</v>
      </c>
      <c r="Z26" s="99">
        <v>925131.22000000067</v>
      </c>
      <c r="AA26" s="99">
        <v>1236788.1500000004</v>
      </c>
      <c r="AB26" s="99">
        <v>1516439.69</v>
      </c>
      <c r="AC26" s="165">
        <v>2168667.56</v>
      </c>
      <c r="AD26" s="157">
        <v>2720558.7299999977</v>
      </c>
      <c r="AE26" s="99">
        <v>1760635.1800000016</v>
      </c>
      <c r="AF26" s="99">
        <v>1985585.7999999996</v>
      </c>
      <c r="AG26" s="165">
        <v>1692544.8499999999</v>
      </c>
      <c r="AH26" s="99">
        <v>2200240.1600000011</v>
      </c>
      <c r="AI26" s="99">
        <v>2144938.2299999991</v>
      </c>
      <c r="AJ26" s="99">
        <v>2064623.87</v>
      </c>
      <c r="AK26" s="165">
        <v>2016801.8199999998</v>
      </c>
      <c r="AL26" s="99">
        <v>3589150.3600000031</v>
      </c>
      <c r="AM26" s="99">
        <v>5789475.9199999981</v>
      </c>
      <c r="AN26" s="99">
        <v>4574830.88</v>
      </c>
      <c r="AO26" s="165">
        <v>2352864.9400000004</v>
      </c>
      <c r="AP26" s="99">
        <v>2211229.9500000002</v>
      </c>
      <c r="AQ26" s="99">
        <v>1332703.4299999997</v>
      </c>
      <c r="AR26" s="99">
        <v>-370635.25999999978</v>
      </c>
      <c r="AS26" s="100">
        <v>2838190.46</v>
      </c>
    </row>
    <row r="27" spans="2:45" ht="5.5" customHeight="1">
      <c r="B27" s="91"/>
      <c r="C27" s="92"/>
      <c r="D27" s="187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2"/>
      <c r="Z27" s="101"/>
      <c r="AA27" s="101"/>
      <c r="AB27" s="101"/>
      <c r="AC27" s="168"/>
      <c r="AD27" s="160"/>
      <c r="AE27" s="101"/>
      <c r="AF27" s="101"/>
      <c r="AG27" s="168"/>
      <c r="AH27" s="101"/>
      <c r="AI27" s="101"/>
      <c r="AJ27" s="101"/>
      <c r="AK27" s="168"/>
      <c r="AL27" s="101"/>
      <c r="AM27" s="101"/>
      <c r="AN27" s="101"/>
      <c r="AO27" s="168"/>
      <c r="AP27" s="101"/>
      <c r="AQ27" s="101"/>
      <c r="AR27" s="101"/>
      <c r="AS27" s="102"/>
    </row>
    <row r="28" spans="2:45">
      <c r="B28" s="117" t="s">
        <v>231</v>
      </c>
      <c r="C28" s="118" t="s">
        <v>232</v>
      </c>
      <c r="D28" s="188">
        <v>-1180758.2899119996</v>
      </c>
      <c r="E28" s="119">
        <v>-5494627.7750960002</v>
      </c>
      <c r="F28" s="119">
        <v>-4569496.5647500008</v>
      </c>
      <c r="G28" s="119">
        <v>-3332708.4103250001</v>
      </c>
      <c r="H28" s="119">
        <v>-2168667.5644</v>
      </c>
      <c r="I28" s="119">
        <v>-6171530.1263799984</v>
      </c>
      <c r="J28" s="119">
        <v>-3075105.3427620023</v>
      </c>
      <c r="K28" s="119">
        <v>-1558299.6246199999</v>
      </c>
      <c r="L28" s="119">
        <v>-40400.286312999902</v>
      </c>
      <c r="M28" s="119">
        <v>-8060406.3974400004</v>
      </c>
      <c r="N28" s="119">
        <v>-6226363.923179999</v>
      </c>
      <c r="O28" s="119">
        <v>-3814347.3379189996</v>
      </c>
      <c r="P28" s="119">
        <v>-1864911.6349199996</v>
      </c>
      <c r="Q28" s="119">
        <v>-16306322.096498001</v>
      </c>
      <c r="R28" s="119">
        <v>-12717171.743336</v>
      </c>
      <c r="S28" s="119">
        <v>-6927695.8205520008</v>
      </c>
      <c r="T28" s="119">
        <v>-2352864.9423750001</v>
      </c>
      <c r="U28" s="119">
        <v>-6011479.6371880006</v>
      </c>
      <c r="V28" s="119">
        <v>-3800258.6164140003</v>
      </c>
      <c r="W28" s="119">
        <v>-936929.43648799974</v>
      </c>
      <c r="X28" s="120">
        <v>-2838190.4565360001</v>
      </c>
      <c r="Z28" s="119">
        <v>-925131.21034599992</v>
      </c>
      <c r="AA28" s="119">
        <v>-1236788.1544250005</v>
      </c>
      <c r="AB28" s="119">
        <v>-1164040.845925</v>
      </c>
      <c r="AC28" s="169">
        <v>-2168667.5644</v>
      </c>
      <c r="AD28" s="161">
        <v>-3096424.7836179966</v>
      </c>
      <c r="AE28" s="119">
        <v>-1516805.7181420024</v>
      </c>
      <c r="AF28" s="119">
        <v>-1517899.338307</v>
      </c>
      <c r="AG28" s="169">
        <v>-40400.286312999902</v>
      </c>
      <c r="AH28" s="119">
        <v>-1834042.474260001</v>
      </c>
      <c r="AI28" s="119">
        <v>-2412016.5852609999</v>
      </c>
      <c r="AJ28" s="119">
        <v>-1949435.7029989997</v>
      </c>
      <c r="AK28" s="169">
        <v>-1864911.6349199996</v>
      </c>
      <c r="AL28" s="119">
        <v>-3589150.3531620027</v>
      </c>
      <c r="AM28" s="119">
        <v>-5789475.9227839978</v>
      </c>
      <c r="AN28" s="119">
        <v>-4574830.8781770002</v>
      </c>
      <c r="AO28" s="169">
        <v>-2352864.9423750001</v>
      </c>
      <c r="AP28" s="119">
        <v>-2211221.0207740003</v>
      </c>
      <c r="AQ28" s="119">
        <v>-2863329.1799260005</v>
      </c>
      <c r="AR28" s="119">
        <v>1901261.0200480002</v>
      </c>
      <c r="AS28" s="120">
        <v>-2838190.4565360001</v>
      </c>
    </row>
    <row r="29" spans="2:45" ht="5.5" customHeight="1" thickBot="1">
      <c r="B29" s="75"/>
      <c r="C29" s="76"/>
      <c r="D29" s="18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8"/>
      <c r="Z29" s="97"/>
      <c r="AA29" s="97"/>
      <c r="AB29" s="97"/>
      <c r="AC29" s="166"/>
      <c r="AD29" s="158"/>
      <c r="AE29" s="97"/>
      <c r="AF29" s="97"/>
      <c r="AG29" s="166"/>
      <c r="AH29" s="97"/>
      <c r="AI29" s="97"/>
      <c r="AJ29" s="97"/>
      <c r="AK29" s="166"/>
      <c r="AL29" s="97"/>
      <c r="AM29" s="97"/>
      <c r="AN29" s="97"/>
      <c r="AO29" s="166"/>
      <c r="AP29" s="97"/>
      <c r="AQ29" s="97"/>
      <c r="AR29" s="97"/>
      <c r="AS29" s="98"/>
    </row>
    <row r="30" spans="2:45" ht="11" thickBot="1">
      <c r="B30" s="95" t="s">
        <v>235</v>
      </c>
      <c r="C30" s="96" t="s">
        <v>236</v>
      </c>
      <c r="D30" s="186">
        <v>-5222346.0199119961</v>
      </c>
      <c r="E30" s="105">
        <v>7830784.2749039466</v>
      </c>
      <c r="F30" s="105">
        <v>4901969.2952499948</v>
      </c>
      <c r="G30" s="105">
        <v>-1151331.5103250509</v>
      </c>
      <c r="H30" s="105">
        <v>-6305670.684399982</v>
      </c>
      <c r="I30" s="105">
        <v>-11880443.736379998</v>
      </c>
      <c r="J30" s="105">
        <v>-11885929.382761974</v>
      </c>
      <c r="K30" s="105">
        <v>-8331776.4146200176</v>
      </c>
      <c r="L30" s="105">
        <v>-5508836.1163130002</v>
      </c>
      <c r="M30" s="105">
        <v>7234599.3125599856</v>
      </c>
      <c r="N30" s="105">
        <v>-1614993.723179956</v>
      </c>
      <c r="O30" s="105">
        <v>2807394.0120810075</v>
      </c>
      <c r="P30" s="105">
        <v>738911.45508000208</v>
      </c>
      <c r="Q30" s="105">
        <v>4951786.4235019945</v>
      </c>
      <c r="R30" s="105">
        <v>-2372337.3833360113</v>
      </c>
      <c r="S30" s="105">
        <v>-442451.06055198237</v>
      </c>
      <c r="T30" s="105">
        <v>-1807198.7723750076</v>
      </c>
      <c r="U30" s="105">
        <v>8330543.9228119534</v>
      </c>
      <c r="V30" s="105">
        <v>7536560.2135859979</v>
      </c>
      <c r="W30" s="105">
        <v>1809162.2235120083</v>
      </c>
      <c r="X30" s="106">
        <v>-2650211.3065360002</v>
      </c>
      <c r="Z30" s="105">
        <v>2928814.9796539652</v>
      </c>
      <c r="AA30" s="105">
        <v>6053300.805575042</v>
      </c>
      <c r="AB30" s="105">
        <v>5154339.1740749273</v>
      </c>
      <c r="AC30" s="167">
        <v>-6305670.684399982</v>
      </c>
      <c r="AD30" s="159">
        <v>5485.6463819779456</v>
      </c>
      <c r="AE30" s="105">
        <v>-3554152.9681419628</v>
      </c>
      <c r="AF30" s="105">
        <v>-2822940.2983070156</v>
      </c>
      <c r="AG30" s="167">
        <v>-5508836.1163130002</v>
      </c>
      <c r="AH30" s="105">
        <v>8849593.0357399452</v>
      </c>
      <c r="AI30" s="105">
        <v>-4422387.735260956</v>
      </c>
      <c r="AJ30" s="105">
        <v>2068482.5570010056</v>
      </c>
      <c r="AK30" s="167">
        <v>738911.45508000208</v>
      </c>
      <c r="AL30" s="105">
        <v>7324123.8068380067</v>
      </c>
      <c r="AM30" s="105">
        <v>-1929886.322784028</v>
      </c>
      <c r="AN30" s="105">
        <v>1364747.7118230239</v>
      </c>
      <c r="AO30" s="167">
        <v>-1807198.7723750076</v>
      </c>
      <c r="AP30" s="105">
        <v>793983.70922594704</v>
      </c>
      <c r="AQ30" s="105">
        <v>5727397.9900739864</v>
      </c>
      <c r="AR30" s="105">
        <v>4459373.5300480137</v>
      </c>
      <c r="AS30" s="106">
        <v>-2650211.3065360002</v>
      </c>
    </row>
    <row r="31" spans="2:45" ht="5.5" customHeight="1">
      <c r="B31" s="75"/>
      <c r="C31" s="76"/>
      <c r="D31" s="185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8"/>
      <c r="Z31" s="97"/>
      <c r="AA31" s="97"/>
      <c r="AB31" s="97"/>
      <c r="AC31" s="166"/>
      <c r="AD31" s="158"/>
      <c r="AE31" s="97"/>
      <c r="AF31" s="97"/>
      <c r="AG31" s="166"/>
      <c r="AH31" s="97"/>
      <c r="AI31" s="97"/>
      <c r="AJ31" s="97"/>
      <c r="AK31" s="166"/>
      <c r="AL31" s="97"/>
      <c r="AM31" s="97"/>
      <c r="AN31" s="97"/>
      <c r="AO31" s="166"/>
      <c r="AP31" s="97"/>
      <c r="AQ31" s="97"/>
      <c r="AR31" s="97"/>
      <c r="AS31" s="98"/>
    </row>
    <row r="32" spans="2:45">
      <c r="B32" s="79" t="s">
        <v>237</v>
      </c>
      <c r="C32" s="80" t="s">
        <v>239</v>
      </c>
      <c r="D32" s="184">
        <v>184311</v>
      </c>
      <c r="E32" s="99">
        <v>520200</v>
      </c>
      <c r="F32" s="99">
        <v>367302</v>
      </c>
      <c r="G32" s="99">
        <v>256735</v>
      </c>
      <c r="H32" s="99">
        <v>33686</v>
      </c>
      <c r="I32" s="99">
        <v>248663</v>
      </c>
      <c r="J32" s="99">
        <v>335824</v>
      </c>
      <c r="K32" s="99">
        <v>193568</v>
      </c>
      <c r="L32" s="99">
        <v>101624</v>
      </c>
      <c r="M32" s="99">
        <v>216458</v>
      </c>
      <c r="N32" s="99">
        <v>294555</v>
      </c>
      <c r="O32" s="99">
        <v>187956</v>
      </c>
      <c r="P32" s="99">
        <v>53700</v>
      </c>
      <c r="Q32" s="99">
        <v>292444</v>
      </c>
      <c r="R32" s="99">
        <v>210937</v>
      </c>
      <c r="S32" s="99">
        <v>131761</v>
      </c>
      <c r="T32" s="99">
        <v>40654</v>
      </c>
      <c r="U32" s="99">
        <v>363791</v>
      </c>
      <c r="V32" s="99">
        <v>266086</v>
      </c>
      <c r="W32" s="99">
        <v>155936</v>
      </c>
      <c r="X32" s="100">
        <v>172713</v>
      </c>
      <c r="Z32" s="99">
        <v>152898</v>
      </c>
      <c r="AA32" s="99">
        <v>110567</v>
      </c>
      <c r="AB32" s="99">
        <v>223049</v>
      </c>
      <c r="AC32" s="165">
        <v>33686</v>
      </c>
      <c r="AD32" s="157">
        <v>-87161</v>
      </c>
      <c r="AE32" s="99">
        <v>142256</v>
      </c>
      <c r="AF32" s="99">
        <v>91944</v>
      </c>
      <c r="AG32" s="165">
        <v>101624</v>
      </c>
      <c r="AH32" s="99">
        <v>-78097</v>
      </c>
      <c r="AI32" s="99">
        <v>106599</v>
      </c>
      <c r="AJ32" s="99">
        <v>134256</v>
      </c>
      <c r="AK32" s="165">
        <v>53700</v>
      </c>
      <c r="AL32" s="99">
        <v>81507</v>
      </c>
      <c r="AM32" s="99">
        <v>79176</v>
      </c>
      <c r="AN32" s="99">
        <v>91107</v>
      </c>
      <c r="AO32" s="165">
        <v>40654</v>
      </c>
      <c r="AP32" s="99">
        <v>97705</v>
      </c>
      <c r="AQ32" s="99">
        <v>110150</v>
      </c>
      <c r="AR32" s="99">
        <v>-16777</v>
      </c>
      <c r="AS32" s="100">
        <v>172713</v>
      </c>
    </row>
    <row r="33" spans="2:45">
      <c r="B33" s="79" t="s">
        <v>238</v>
      </c>
      <c r="C33" s="80" t="s">
        <v>240</v>
      </c>
      <c r="D33" s="184">
        <v>-152282</v>
      </c>
      <c r="E33" s="99">
        <v>3917752</v>
      </c>
      <c r="F33" s="99">
        <v>2903615</v>
      </c>
      <c r="G33" s="99">
        <v>1159171</v>
      </c>
      <c r="H33" s="99">
        <v>-531161</v>
      </c>
      <c r="I33" s="99">
        <v>3529115</v>
      </c>
      <c r="J33" s="99">
        <v>-1017553</v>
      </c>
      <c r="K33" s="99">
        <v>-693560</v>
      </c>
      <c r="L33" s="99">
        <v>-571944</v>
      </c>
      <c r="M33" s="99">
        <v>4743819</v>
      </c>
      <c r="N33" s="99">
        <v>1216157</v>
      </c>
      <c r="O33" s="99">
        <v>1330142</v>
      </c>
      <c r="P33" s="99">
        <v>819488</v>
      </c>
      <c r="Q33" s="99">
        <v>3239035</v>
      </c>
      <c r="R33" s="99">
        <v>1020222</v>
      </c>
      <c r="S33" s="99">
        <v>1094173</v>
      </c>
      <c r="T33" s="99">
        <v>1284792</v>
      </c>
      <c r="U33" s="99">
        <v>5085024</v>
      </c>
      <c r="V33" s="99">
        <v>4058665</v>
      </c>
      <c r="W33" s="99">
        <v>3053579</v>
      </c>
      <c r="X33" s="100">
        <v>2242828</v>
      </c>
      <c r="Z33" s="99">
        <v>1014137</v>
      </c>
      <c r="AA33" s="99">
        <v>1744444</v>
      </c>
      <c r="AB33" s="99">
        <v>1690332</v>
      </c>
      <c r="AC33" s="165">
        <v>-531161</v>
      </c>
      <c r="AD33" s="157">
        <v>4546668</v>
      </c>
      <c r="AE33" s="99">
        <v>-323993</v>
      </c>
      <c r="AF33" s="99">
        <v>-121616</v>
      </c>
      <c r="AG33" s="165">
        <v>-571944</v>
      </c>
      <c r="AH33" s="99">
        <v>3527662</v>
      </c>
      <c r="AI33" s="99">
        <v>-113985</v>
      </c>
      <c r="AJ33" s="99">
        <v>510654</v>
      </c>
      <c r="AK33" s="165">
        <v>819488</v>
      </c>
      <c r="AL33" s="99">
        <v>2218813</v>
      </c>
      <c r="AM33" s="99">
        <v>-73951</v>
      </c>
      <c r="AN33" s="99">
        <v>-190619</v>
      </c>
      <c r="AO33" s="165">
        <v>1284792</v>
      </c>
      <c r="AP33" s="99">
        <v>1026359</v>
      </c>
      <c r="AQ33" s="99">
        <v>1005086</v>
      </c>
      <c r="AR33" s="99">
        <v>810751</v>
      </c>
      <c r="AS33" s="100">
        <v>2242828</v>
      </c>
    </row>
    <row r="34" spans="2:45" ht="5.5" customHeight="1">
      <c r="B34" s="75"/>
      <c r="C34" s="76"/>
      <c r="D34" s="185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8"/>
      <c r="Z34" s="97"/>
      <c r="AA34" s="97"/>
      <c r="AB34" s="97"/>
      <c r="AC34" s="166"/>
      <c r="AD34" s="158"/>
      <c r="AE34" s="97"/>
      <c r="AF34" s="97"/>
      <c r="AG34" s="166"/>
      <c r="AH34" s="97"/>
      <c r="AI34" s="97"/>
      <c r="AJ34" s="97"/>
      <c r="AK34" s="166"/>
      <c r="AL34" s="97"/>
      <c r="AM34" s="97"/>
      <c r="AN34" s="97"/>
      <c r="AO34" s="166"/>
      <c r="AP34" s="97"/>
      <c r="AQ34" s="97"/>
      <c r="AR34" s="97"/>
      <c r="AS34" s="98"/>
    </row>
    <row r="35" spans="2:45">
      <c r="B35" s="117" t="s">
        <v>241</v>
      </c>
      <c r="C35" s="118" t="s">
        <v>242</v>
      </c>
      <c r="D35" s="188">
        <v>32029</v>
      </c>
      <c r="E35" s="119">
        <v>4437952</v>
      </c>
      <c r="F35" s="119">
        <v>3270917</v>
      </c>
      <c r="G35" s="119">
        <v>1415906</v>
      </c>
      <c r="H35" s="119">
        <v>-497475</v>
      </c>
      <c r="I35" s="119">
        <v>3777778</v>
      </c>
      <c r="J35" s="119">
        <v>-681729</v>
      </c>
      <c r="K35" s="119">
        <v>-499992</v>
      </c>
      <c r="L35" s="119">
        <v>-470320</v>
      </c>
      <c r="M35" s="119">
        <v>4960277</v>
      </c>
      <c r="N35" s="119">
        <v>1510712</v>
      </c>
      <c r="O35" s="119">
        <v>1518098</v>
      </c>
      <c r="P35" s="119">
        <v>873188</v>
      </c>
      <c r="Q35" s="119">
        <v>3531479</v>
      </c>
      <c r="R35" s="119">
        <v>1231159</v>
      </c>
      <c r="S35" s="119">
        <v>1225934</v>
      </c>
      <c r="T35" s="119">
        <v>1325446</v>
      </c>
      <c r="U35" s="119">
        <v>5448815</v>
      </c>
      <c r="V35" s="119">
        <v>4324751</v>
      </c>
      <c r="W35" s="119">
        <v>3209515</v>
      </c>
      <c r="X35" s="120">
        <v>2415541</v>
      </c>
      <c r="Z35" s="119">
        <v>1167035</v>
      </c>
      <c r="AA35" s="119">
        <v>1855011</v>
      </c>
      <c r="AB35" s="119">
        <v>1913381</v>
      </c>
      <c r="AC35" s="169">
        <v>-497475</v>
      </c>
      <c r="AD35" s="161">
        <v>4459507</v>
      </c>
      <c r="AE35" s="119">
        <v>-181737</v>
      </c>
      <c r="AF35" s="119">
        <v>-29672</v>
      </c>
      <c r="AG35" s="169">
        <v>-470320</v>
      </c>
      <c r="AH35" s="119">
        <v>3449565</v>
      </c>
      <c r="AI35" s="119">
        <v>-7386</v>
      </c>
      <c r="AJ35" s="119">
        <v>644910</v>
      </c>
      <c r="AK35" s="169">
        <v>873188</v>
      </c>
      <c r="AL35" s="119">
        <v>2300320</v>
      </c>
      <c r="AM35" s="119">
        <v>5225</v>
      </c>
      <c r="AN35" s="119">
        <v>-99512</v>
      </c>
      <c r="AO35" s="169">
        <v>1325446</v>
      </c>
      <c r="AP35" s="119">
        <v>1124064</v>
      </c>
      <c r="AQ35" s="119">
        <v>1115236</v>
      </c>
      <c r="AR35" s="119">
        <v>793974</v>
      </c>
      <c r="AS35" s="120">
        <v>2415541</v>
      </c>
    </row>
    <row r="36" spans="2:45" ht="5.5" customHeight="1" thickBot="1">
      <c r="B36" s="75"/>
      <c r="C36" s="76"/>
      <c r="D36" s="185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8"/>
      <c r="Z36" s="97"/>
      <c r="AA36" s="97"/>
      <c r="AB36" s="97"/>
      <c r="AC36" s="166"/>
      <c r="AD36" s="158"/>
      <c r="AE36" s="97"/>
      <c r="AF36" s="97"/>
      <c r="AG36" s="166"/>
      <c r="AH36" s="97"/>
      <c r="AI36" s="97"/>
      <c r="AJ36" s="97"/>
      <c r="AK36" s="166"/>
      <c r="AL36" s="97"/>
      <c r="AM36" s="97"/>
      <c r="AN36" s="97"/>
      <c r="AO36" s="166"/>
      <c r="AP36" s="97"/>
      <c r="AQ36" s="97"/>
      <c r="AR36" s="97"/>
      <c r="AS36" s="98"/>
    </row>
    <row r="37" spans="2:45" ht="11" thickBot="1">
      <c r="B37" s="95" t="s">
        <v>243</v>
      </c>
      <c r="C37" s="96" t="s">
        <v>244</v>
      </c>
      <c r="D37" s="186">
        <v>-5254375.0199119961</v>
      </c>
      <c r="E37" s="105">
        <v>3392832.2749039466</v>
      </c>
      <c r="F37" s="105">
        <v>1631052.2952499948</v>
      </c>
      <c r="G37" s="105">
        <v>-2567237.5103250509</v>
      </c>
      <c r="H37" s="105">
        <v>-5808195.684399982</v>
      </c>
      <c r="I37" s="105">
        <v>-15658221.736379998</v>
      </c>
      <c r="J37" s="105">
        <v>-11204200.382761974</v>
      </c>
      <c r="K37" s="105">
        <v>-7831784.4146200176</v>
      </c>
      <c r="L37" s="105">
        <v>-5038516.1163130002</v>
      </c>
      <c r="M37" s="105">
        <v>2274322.3125599856</v>
      </c>
      <c r="N37" s="105">
        <v>-3125705.723179956</v>
      </c>
      <c r="O37" s="105">
        <v>1289296.0120810075</v>
      </c>
      <c r="P37" s="105">
        <v>-134276.54491999792</v>
      </c>
      <c r="Q37" s="105">
        <v>1420307.4235019945</v>
      </c>
      <c r="R37" s="105">
        <v>-3603496.3833360113</v>
      </c>
      <c r="S37" s="105">
        <v>-1668385.0605519824</v>
      </c>
      <c r="T37" s="105">
        <v>-3132644.7723750076</v>
      </c>
      <c r="U37" s="105">
        <v>2881728.9228119534</v>
      </c>
      <c r="V37" s="105">
        <v>3211809.2135859979</v>
      </c>
      <c r="W37" s="105">
        <v>-1400352.7764879917</v>
      </c>
      <c r="X37" s="106">
        <v>-5065752.3065360002</v>
      </c>
      <c r="Z37" s="105">
        <v>1761779.9796539652</v>
      </c>
      <c r="AA37" s="105">
        <v>4198289.805575042</v>
      </c>
      <c r="AB37" s="105">
        <v>3240958.1740749273</v>
      </c>
      <c r="AC37" s="167">
        <v>-5808195.684399982</v>
      </c>
      <c r="AD37" s="159">
        <v>-4454021.3536180221</v>
      </c>
      <c r="AE37" s="105">
        <v>-3372415.9681419628</v>
      </c>
      <c r="AF37" s="105">
        <v>-2793268.2983070156</v>
      </c>
      <c r="AG37" s="167">
        <v>-5038516.1163130002</v>
      </c>
      <c r="AH37" s="105">
        <v>5400028.0357399452</v>
      </c>
      <c r="AI37" s="105">
        <v>-4415001.735260956</v>
      </c>
      <c r="AJ37" s="105">
        <v>1423572.5570010056</v>
      </c>
      <c r="AK37" s="167">
        <v>-134276.54491999792</v>
      </c>
      <c r="AL37" s="105">
        <v>5023803.8068380067</v>
      </c>
      <c r="AM37" s="105">
        <v>-1935111.322784028</v>
      </c>
      <c r="AN37" s="105">
        <v>1464259.7118230239</v>
      </c>
      <c r="AO37" s="167">
        <v>-3132644.7723750076</v>
      </c>
      <c r="AP37" s="105">
        <v>-330080.29077405296</v>
      </c>
      <c r="AQ37" s="105">
        <v>4612161.9900739864</v>
      </c>
      <c r="AR37" s="105">
        <v>3665399.5300480137</v>
      </c>
      <c r="AS37" s="106">
        <v>-5065752.3065360002</v>
      </c>
    </row>
    <row r="39" spans="2:45" ht="11" thickBot="1">
      <c r="B39" s="90"/>
    </row>
    <row r="40" spans="2:45" s="95" customFormat="1" ht="11" thickBot="1">
      <c r="B40" s="95" t="s">
        <v>43</v>
      </c>
      <c r="D40" s="95">
        <v>2399392.3400000022</v>
      </c>
      <c r="E40" s="95">
        <v>51283221.629999951</v>
      </c>
      <c r="F40" s="95">
        <v>39673037.119999997</v>
      </c>
      <c r="G40" s="95">
        <v>23692008.459999949</v>
      </c>
      <c r="H40" s="95">
        <v>6622879.240000017</v>
      </c>
      <c r="I40" s="95">
        <v>30573843.470000006</v>
      </c>
      <c r="J40" s="95">
        <v>18060179.900000036</v>
      </c>
      <c r="K40" s="95">
        <v>11110753.529999983</v>
      </c>
      <c r="L40" s="95">
        <v>3480802.25</v>
      </c>
      <c r="M40" s="95">
        <v>50278262.629999995</v>
      </c>
      <c r="N40" s="95">
        <v>30627181.540000048</v>
      </c>
      <c r="O40" s="95">
        <v>23860701.010000013</v>
      </c>
      <c r="P40" s="95">
        <v>11197157.990000002</v>
      </c>
      <c r="Q40" s="95">
        <v>55661063.450000003</v>
      </c>
      <c r="R40" s="95">
        <v>36215612.929999992</v>
      </c>
      <c r="S40" s="95">
        <v>23857952.44000002</v>
      </c>
      <c r="T40" s="95">
        <v>8673082.7899999917</v>
      </c>
      <c r="U40" s="95">
        <v>45979885.009999953</v>
      </c>
      <c r="V40" s="95">
        <v>34987921.920000002</v>
      </c>
      <c r="W40" s="95">
        <v>18446176.120000008</v>
      </c>
      <c r="X40" s="95">
        <v>7949409.1599999983</v>
      </c>
      <c r="Y40" s="95">
        <v>0</v>
      </c>
      <c r="Z40" s="95">
        <v>11610184.509999968</v>
      </c>
      <c r="AA40" s="95">
        <v>15981028.660000045</v>
      </c>
      <c r="AB40" s="95">
        <v>17069129.219999928</v>
      </c>
      <c r="AC40" s="95">
        <v>6622879.240000017</v>
      </c>
      <c r="AD40" s="95">
        <v>12513663.569999974</v>
      </c>
      <c r="AE40" s="95">
        <v>6949426.3700000448</v>
      </c>
      <c r="AF40" s="95">
        <v>7629951.2799999844</v>
      </c>
      <c r="AG40" s="95">
        <v>3480802.25</v>
      </c>
      <c r="AH40" s="95">
        <v>19651081.089999951</v>
      </c>
      <c r="AI40" s="95">
        <v>6766480.5300000431</v>
      </c>
      <c r="AJ40" s="95">
        <v>12663543.020000009</v>
      </c>
      <c r="AK40" s="95">
        <v>11197157.990000002</v>
      </c>
      <c r="AL40" s="95">
        <v>19445450.520000018</v>
      </c>
      <c r="AM40" s="95">
        <v>12357660.48999997</v>
      </c>
      <c r="AN40" s="95">
        <v>15184869.650000023</v>
      </c>
      <c r="AO40" s="95">
        <v>8673082.7899999917</v>
      </c>
      <c r="AP40" s="95">
        <v>10991963.089999948</v>
      </c>
      <c r="AQ40" s="95">
        <v>16541745.799999988</v>
      </c>
      <c r="AR40" s="95">
        <v>10496766.960000014</v>
      </c>
      <c r="AS40" s="95">
        <v>7949409.1599999983</v>
      </c>
    </row>
    <row r="42" spans="2:45">
      <c r="B42" s="90"/>
    </row>
    <row r="45" spans="2:45" ht="12.75" customHeight="1"/>
  </sheetData>
  <pageMargins left="0.7" right="0.7" top="0.75" bottom="0.75" header="0.3" footer="0.3"/>
  <pageSetup paperSize="9" scale="1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M85"/>
  <sheetViews>
    <sheetView workbookViewId="0"/>
  </sheetViews>
  <sheetFormatPr defaultColWidth="9.1796875" defaultRowHeight="10.5" outlineLevelRow="2" outlineLevelCol="1"/>
  <cols>
    <col min="1" max="1" width="24.453125" style="4" customWidth="1"/>
    <col min="2" max="2" width="10.54296875" style="3" customWidth="1"/>
    <col min="3" max="3" width="0.81640625" style="3" customWidth="1"/>
    <col min="4" max="4" width="10.453125" style="2" customWidth="1"/>
    <col min="5" max="5" width="1" style="2" hidden="1" customWidth="1"/>
    <col min="6" max="6" width="10.54296875" style="2" customWidth="1"/>
    <col min="7" max="7" width="1" style="2" customWidth="1"/>
    <col min="8" max="8" width="10.54296875" style="2" hidden="1" customWidth="1" outlineLevel="1"/>
    <col min="9" max="9" width="1" style="2" hidden="1" customWidth="1" outlineLevel="1"/>
    <col min="10" max="10" width="9.81640625" style="2" hidden="1" customWidth="1" outlineLevel="1"/>
    <col min="11" max="11" width="1" style="2" customWidth="1" collapsed="1"/>
    <col min="12" max="12" width="10.54296875" style="2" customWidth="1"/>
    <col min="13" max="13" width="1" style="2" customWidth="1"/>
    <col min="14" max="249" width="9.1796875" style="4" customWidth="1"/>
    <col min="250" max="16384" width="9.1796875" style="4"/>
  </cols>
  <sheetData>
    <row r="1" spans="1:13" outlineLevel="1"/>
    <row r="2" spans="1:13" outlineLevel="1">
      <c r="A2" s="1"/>
      <c r="B2" s="173" t="s">
        <v>44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3" ht="31.5" outlineLevel="1">
      <c r="B3" s="5" t="s">
        <v>31</v>
      </c>
      <c r="D3" s="5" t="s">
        <v>32</v>
      </c>
      <c r="F3" s="5" t="s">
        <v>33</v>
      </c>
      <c r="H3" s="5" t="s">
        <v>34</v>
      </c>
      <c r="J3" s="6" t="s">
        <v>35</v>
      </c>
      <c r="L3" s="5" t="s">
        <v>36</v>
      </c>
    </row>
    <row r="4" spans="1:13" outlineLevel="1"/>
    <row r="5" spans="1:13" s="7" customFormat="1" outlineLevel="1">
      <c r="A5" s="7" t="s">
        <v>37</v>
      </c>
      <c r="B5" s="8">
        <v>15021.23856</v>
      </c>
      <c r="C5" s="9"/>
      <c r="D5" s="8">
        <v>4403.7865399999991</v>
      </c>
      <c r="E5" s="8"/>
      <c r="F5" s="8">
        <v>1228.396</v>
      </c>
      <c r="G5" s="8">
        <v>0</v>
      </c>
      <c r="H5" s="8">
        <v>1189.5026600000001</v>
      </c>
      <c r="I5" s="8"/>
      <c r="J5" s="8">
        <v>-1189.5026600000001</v>
      </c>
      <c r="K5" s="8"/>
      <c r="L5" s="8">
        <v>20653.4211</v>
      </c>
      <c r="M5" s="8"/>
    </row>
    <row r="6" spans="1:13" outlineLevel="1">
      <c r="A6" s="10" t="s">
        <v>38</v>
      </c>
      <c r="B6" s="2">
        <v>15021.23856</v>
      </c>
      <c r="C6" s="11"/>
      <c r="D6" s="2">
        <v>4403.7865399999991</v>
      </c>
      <c r="F6" s="2">
        <v>1228.396</v>
      </c>
      <c r="L6" s="2">
        <v>20653.4211</v>
      </c>
    </row>
    <row r="7" spans="1:13" outlineLevel="1">
      <c r="A7" s="10" t="s">
        <v>39</v>
      </c>
      <c r="B7" s="2"/>
      <c r="C7" s="11"/>
      <c r="L7" s="2">
        <v>0</v>
      </c>
    </row>
    <row r="8" spans="1:13" outlineLevel="1">
      <c r="A8" s="10" t="s">
        <v>40</v>
      </c>
      <c r="B8" s="2"/>
      <c r="C8" s="11"/>
      <c r="H8" s="2">
        <v>1189.5026600000001</v>
      </c>
      <c r="J8" s="2">
        <v>-1189.5026600000001</v>
      </c>
      <c r="L8" s="2">
        <v>0</v>
      </c>
    </row>
    <row r="9" spans="1:13" outlineLevel="1">
      <c r="B9" s="2"/>
    </row>
    <row r="10" spans="1:13" s="7" customFormat="1" outlineLevel="1">
      <c r="A10" s="7" t="s">
        <v>41</v>
      </c>
      <c r="B10" s="8">
        <v>-14752.048043533101</v>
      </c>
      <c r="C10" s="9"/>
      <c r="D10" s="8">
        <v>-2874.2770343633142</v>
      </c>
      <c r="E10" s="8"/>
      <c r="F10" s="8">
        <v>-1154.4767400000001</v>
      </c>
      <c r="G10" s="8">
        <v>0</v>
      </c>
      <c r="H10" s="8">
        <v>-1791.2324756366847</v>
      </c>
      <c r="I10" s="8"/>
      <c r="J10" s="8">
        <v>1189.5026600000001</v>
      </c>
      <c r="K10" s="8"/>
      <c r="L10" s="8">
        <v>-19382.531633533094</v>
      </c>
      <c r="M10" s="8"/>
    </row>
    <row r="11" spans="1:13" outlineLevel="1">
      <c r="A11" s="19" t="s">
        <v>22</v>
      </c>
      <c r="B11" s="2">
        <v>-232.17699999999999</v>
      </c>
      <c r="C11" s="2"/>
      <c r="D11" s="2">
        <v>-695.31395125911661</v>
      </c>
      <c r="F11" s="2">
        <v>-236.61473999999998</v>
      </c>
      <c r="H11" s="2">
        <v>-767.97961000000203</v>
      </c>
      <c r="J11" s="2">
        <v>697.54016000000013</v>
      </c>
      <c r="L11" s="2">
        <v>-1234.5451412591187</v>
      </c>
    </row>
    <row r="12" spans="1:13" outlineLevel="1">
      <c r="A12" s="19" t="s">
        <v>19</v>
      </c>
      <c r="B12" s="2">
        <v>-12903.367109999999</v>
      </c>
      <c r="C12" s="2"/>
      <c r="D12" s="2">
        <v>-356.86396000000019</v>
      </c>
      <c r="J12" s="2">
        <v>-250.69</v>
      </c>
      <c r="L12" s="2">
        <v>-13510.92107</v>
      </c>
    </row>
    <row r="13" spans="1:13" outlineLevel="1">
      <c r="A13" s="19" t="s">
        <v>23</v>
      </c>
      <c r="B13" s="2">
        <v>-1616.5039335331021</v>
      </c>
      <c r="C13" s="2"/>
      <c r="D13" s="2">
        <v>-1822.0991231041974</v>
      </c>
      <c r="F13" s="2">
        <v>-917.86200000000008</v>
      </c>
      <c r="J13" s="2">
        <v>741</v>
      </c>
      <c r="L13" s="2">
        <v>-3615.4650566372993</v>
      </c>
    </row>
    <row r="14" spans="1:13" outlineLevel="1">
      <c r="A14" s="19" t="s">
        <v>24</v>
      </c>
      <c r="B14" s="2"/>
      <c r="C14" s="2"/>
      <c r="H14" s="2">
        <v>-1181.3188756366828</v>
      </c>
      <c r="J14" s="2">
        <v>1.6524999999999199</v>
      </c>
      <c r="L14" s="2">
        <v>-1179.6663756366829</v>
      </c>
    </row>
    <row r="15" spans="1:13" outlineLevel="1">
      <c r="A15" s="19" t="s">
        <v>18</v>
      </c>
      <c r="B15" s="2"/>
      <c r="C15" s="2"/>
      <c r="H15" s="2">
        <v>158.06600999999995</v>
      </c>
      <c r="L15" s="2">
        <v>158.06600999999995</v>
      </c>
    </row>
    <row r="16" spans="1:13" outlineLevel="1"/>
    <row r="17" spans="1:12" ht="11" outlineLevel="1" thickBot="1">
      <c r="A17" s="7" t="s">
        <v>42</v>
      </c>
      <c r="B17" s="12">
        <v>269.19051646689877</v>
      </c>
      <c r="C17" s="9"/>
      <c r="D17" s="12">
        <v>1529.5095056366849</v>
      </c>
      <c r="E17" s="8"/>
      <c r="F17" s="12">
        <v>73.919259999999895</v>
      </c>
      <c r="G17" s="12">
        <v>0</v>
      </c>
      <c r="H17" s="12">
        <v>-601.72981563668463</v>
      </c>
      <c r="I17" s="8"/>
      <c r="J17" s="12">
        <v>0</v>
      </c>
      <c r="K17" s="8"/>
      <c r="L17" s="12">
        <v>1270.889466466906</v>
      </c>
    </row>
    <row r="18" spans="1:12" outlineLevel="1">
      <c r="A18" s="4" t="s">
        <v>17</v>
      </c>
      <c r="B18" s="2">
        <v>-197.45300000000003</v>
      </c>
      <c r="D18" s="2">
        <v>-23.77411</v>
      </c>
      <c r="F18" s="2">
        <v>-54.22</v>
      </c>
      <c r="G18" s="2">
        <v>-54.22</v>
      </c>
      <c r="H18" s="2">
        <v>-747.49396353310306</v>
      </c>
      <c r="J18" s="2">
        <v>-1.6524999999999199</v>
      </c>
      <c r="L18" s="2">
        <v>-1078.8135735331032</v>
      </c>
    </row>
    <row r="19" spans="1:12" outlineLevel="1"/>
    <row r="20" spans="1:12" ht="11" outlineLevel="1" thickBot="1">
      <c r="A20" s="7" t="s">
        <v>43</v>
      </c>
      <c r="B20" s="12">
        <v>466.6435164668988</v>
      </c>
      <c r="C20" s="13"/>
      <c r="D20" s="12">
        <v>1553.283615636685</v>
      </c>
      <c r="E20" s="8"/>
      <c r="F20" s="12">
        <v>128.13925999999989</v>
      </c>
      <c r="G20" s="12">
        <v>54.22</v>
      </c>
      <c r="H20" s="12">
        <v>145.76414789641842</v>
      </c>
      <c r="I20" s="8"/>
      <c r="J20" s="12">
        <v>1.6524999999999199</v>
      </c>
      <c r="K20" s="8"/>
      <c r="L20" s="12">
        <v>2349.7030400000094</v>
      </c>
    </row>
    <row r="21" spans="1:12" outlineLevel="1"/>
    <row r="22" spans="1:12" outlineLevel="1"/>
    <row r="23" spans="1:12">
      <c r="A23" s="1"/>
      <c r="B23" s="173" t="s">
        <v>45</v>
      </c>
      <c r="C23" s="173"/>
      <c r="D23" s="173"/>
      <c r="E23" s="173"/>
      <c r="F23" s="173"/>
      <c r="G23" s="173"/>
      <c r="H23" s="173"/>
      <c r="I23" s="173"/>
      <c r="J23" s="173"/>
      <c r="K23" s="173"/>
      <c r="L23" s="173"/>
    </row>
    <row r="24" spans="1:12" ht="31.5">
      <c r="B24" s="5" t="s">
        <v>31</v>
      </c>
      <c r="D24" s="5" t="s">
        <v>32</v>
      </c>
      <c r="F24" s="5" t="s">
        <v>33</v>
      </c>
      <c r="H24" s="5" t="s">
        <v>34</v>
      </c>
      <c r="J24" s="6" t="s">
        <v>35</v>
      </c>
      <c r="L24" s="5" t="s">
        <v>36</v>
      </c>
    </row>
    <row r="26" spans="1:12">
      <c r="A26" s="7" t="s">
        <v>37</v>
      </c>
      <c r="B26" s="8">
        <v>31534.715620000003</v>
      </c>
      <c r="C26" s="9"/>
      <c r="D26" s="8">
        <v>13047.889209999999</v>
      </c>
      <c r="E26" s="8"/>
      <c r="F26" s="8">
        <v>3529.5050000000001</v>
      </c>
      <c r="G26" s="8">
        <v>0</v>
      </c>
      <c r="H26" s="8">
        <v>3733.3566500000002</v>
      </c>
      <c r="I26" s="8"/>
      <c r="J26" s="8">
        <v>-3733.3566500000002</v>
      </c>
      <c r="K26" s="8"/>
      <c r="L26" s="8">
        <v>48112.109830000001</v>
      </c>
    </row>
    <row r="27" spans="1:12">
      <c r="A27" s="10" t="s">
        <v>38</v>
      </c>
      <c r="B27" s="2">
        <v>31534.715620000003</v>
      </c>
      <c r="C27" s="11"/>
      <c r="D27" s="2">
        <v>13047.889209999999</v>
      </c>
      <c r="F27" s="2">
        <v>3529.5050000000001</v>
      </c>
      <c r="L27" s="2">
        <v>48112.109830000001</v>
      </c>
    </row>
    <row r="28" spans="1:12">
      <c r="A28" s="10" t="s">
        <v>39</v>
      </c>
      <c r="B28" s="2"/>
      <c r="C28" s="11"/>
      <c r="L28" s="2">
        <v>0</v>
      </c>
    </row>
    <row r="29" spans="1:12">
      <c r="A29" s="10" t="s">
        <v>40</v>
      </c>
      <c r="B29" s="2"/>
      <c r="C29" s="11"/>
      <c r="H29" s="2">
        <v>3733.3566500000002</v>
      </c>
      <c r="J29" s="2">
        <v>-3733.3566500000002</v>
      </c>
      <c r="L29" s="2">
        <v>0</v>
      </c>
    </row>
    <row r="30" spans="1:12">
      <c r="B30" s="2"/>
    </row>
    <row r="31" spans="1:12" outlineLevel="2">
      <c r="A31" s="7" t="s">
        <v>41</v>
      </c>
      <c r="B31" s="8">
        <v>-30898.36001059931</v>
      </c>
      <c r="C31" s="9"/>
      <c r="D31" s="8">
        <v>-9205.0948843633141</v>
      </c>
      <c r="E31" s="8"/>
      <c r="F31" s="8">
        <v>-3165.3180000000002</v>
      </c>
      <c r="G31" s="8">
        <v>0</v>
      </c>
      <c r="H31" s="8">
        <v>-5924.5258156366835</v>
      </c>
      <c r="I31" s="8"/>
      <c r="J31" s="8">
        <v>3733.3566500000002</v>
      </c>
      <c r="K31" s="8"/>
      <c r="L31" s="8">
        <v>-45459.942060599307</v>
      </c>
    </row>
    <row r="32" spans="1:12" outlineLevel="2">
      <c r="A32" s="19" t="s">
        <v>22</v>
      </c>
      <c r="B32" s="2">
        <v>-2575.701</v>
      </c>
      <c r="C32" s="2"/>
      <c r="D32" s="2">
        <v>-2114.4389912591168</v>
      </c>
      <c r="F32" s="2">
        <v>-567.327</v>
      </c>
      <c r="H32" s="2">
        <v>-2120.6809299999995</v>
      </c>
      <c r="J32" s="2">
        <v>1484.0891500000002</v>
      </c>
      <c r="L32" s="2">
        <v>-5894.0587712591168</v>
      </c>
    </row>
    <row r="33" spans="1:12" outlineLevel="2">
      <c r="A33" s="19" t="s">
        <v>19</v>
      </c>
      <c r="B33" s="2">
        <v>-23949.233039999999</v>
      </c>
      <c r="C33" s="2"/>
      <c r="D33" s="2">
        <v>-1549.6805900000002</v>
      </c>
      <c r="J33" s="2">
        <v>-250.69</v>
      </c>
      <c r="L33" s="2">
        <v>-25749.603629999998</v>
      </c>
    </row>
    <row r="34" spans="1:12" outlineLevel="2">
      <c r="A34" s="19" t="s">
        <v>23</v>
      </c>
      <c r="B34" s="2">
        <v>-4373.425970599309</v>
      </c>
      <c r="C34" s="2"/>
      <c r="D34" s="2">
        <v>-5540.9753031041973</v>
      </c>
      <c r="F34" s="2">
        <v>-2597.991</v>
      </c>
      <c r="J34" s="2">
        <v>2495</v>
      </c>
      <c r="L34" s="2">
        <v>-10017.392273703506</v>
      </c>
    </row>
    <row r="35" spans="1:12" outlineLevel="2">
      <c r="A35" s="19" t="s">
        <v>24</v>
      </c>
      <c r="B35" s="2"/>
      <c r="C35" s="2"/>
      <c r="H35" s="2">
        <v>-4163.0238656366837</v>
      </c>
      <c r="J35" s="2">
        <v>4.9574999999999996</v>
      </c>
      <c r="L35" s="2">
        <v>-4158.0663656366833</v>
      </c>
    </row>
    <row r="36" spans="1:12" outlineLevel="2">
      <c r="A36" s="19" t="s">
        <v>18</v>
      </c>
      <c r="B36" s="2"/>
      <c r="C36" s="2"/>
      <c r="H36" s="14">
        <v>359.17897999999997</v>
      </c>
      <c r="L36" s="2">
        <v>359.17897999999997</v>
      </c>
    </row>
    <row r="37" spans="1:12" outlineLevel="2"/>
    <row r="38" spans="1:12" ht="11" thickBot="1">
      <c r="A38" s="7" t="s">
        <v>42</v>
      </c>
      <c r="B38" s="12">
        <v>636.35560940069263</v>
      </c>
      <c r="C38" s="9"/>
      <c r="D38" s="12">
        <v>3842.7943256366852</v>
      </c>
      <c r="E38" s="8"/>
      <c r="F38" s="12">
        <v>364.1869999999999</v>
      </c>
      <c r="G38" s="12">
        <v>0</v>
      </c>
      <c r="H38" s="12">
        <v>-2191.1691656366834</v>
      </c>
      <c r="I38" s="8"/>
      <c r="J38" s="12">
        <v>0</v>
      </c>
      <c r="K38" s="8"/>
      <c r="L38" s="12">
        <v>2652.1677694006939</v>
      </c>
    </row>
    <row r="39" spans="1:12">
      <c r="A39" s="4" t="s">
        <v>17</v>
      </c>
      <c r="B39" s="2">
        <v>-522.45499999999993</v>
      </c>
      <c r="D39" s="2">
        <v>-61.214129999999997</v>
      </c>
      <c r="F39" s="2">
        <v>-158.928</v>
      </c>
      <c r="G39" s="2">
        <v>-158.928</v>
      </c>
      <c r="H39" s="2">
        <v>-1925.9560605993099</v>
      </c>
      <c r="J39" s="2">
        <v>-4.9574999999999996</v>
      </c>
      <c r="L39" s="2">
        <v>-2832.4386905993097</v>
      </c>
    </row>
    <row r="40" spans="1:12">
      <c r="A40" s="15" t="s">
        <v>48</v>
      </c>
      <c r="B40" s="16">
        <f>B38/B26</f>
        <v>2.0179525861875922E-2</v>
      </c>
      <c r="D40" s="16">
        <f>D38/D26</f>
        <v>0.29451463480327061</v>
      </c>
      <c r="E40" s="16"/>
      <c r="F40" s="16">
        <f>F38/F26</f>
        <v>0.10318359090014036</v>
      </c>
      <c r="L40" s="16">
        <f>L38/L26</f>
        <v>5.5124744659336297E-2</v>
      </c>
    </row>
    <row r="41" spans="1:12" ht="11" thickBot="1">
      <c r="A41" s="7" t="s">
        <v>43</v>
      </c>
      <c r="B41" s="12">
        <v>1158.8106094006926</v>
      </c>
      <c r="C41" s="13"/>
      <c r="D41" s="12">
        <v>3904.0084556366851</v>
      </c>
      <c r="E41" s="8"/>
      <c r="F41" s="12">
        <v>523.1149999999999</v>
      </c>
      <c r="G41" s="12">
        <v>158.928</v>
      </c>
      <c r="H41" s="12">
        <v>-265.21310503737345</v>
      </c>
      <c r="I41" s="8"/>
      <c r="J41" s="12">
        <v>4.9574999999999996</v>
      </c>
      <c r="K41" s="8"/>
      <c r="L41" s="12">
        <v>5484.6064600000036</v>
      </c>
    </row>
    <row r="42" spans="1:12">
      <c r="A42" s="15" t="s">
        <v>49</v>
      </c>
      <c r="B42" s="16">
        <f>B41/B26</f>
        <v>3.6747139988976135E-2</v>
      </c>
      <c r="D42" s="16">
        <f>D41/D26</f>
        <v>0.29920613156683029</v>
      </c>
      <c r="E42" s="16" t="e">
        <f>E41/E26</f>
        <v>#DIV/0!</v>
      </c>
      <c r="F42" s="16">
        <f>F41/F26</f>
        <v>0.14821200139962967</v>
      </c>
      <c r="L42" s="16">
        <f>L41/L26</f>
        <v>0.11399638218692526</v>
      </c>
    </row>
    <row r="43" spans="1:12" ht="130.5" customHeight="1" outlineLevel="1"/>
    <row r="44" spans="1:12" ht="12" customHeight="1" outlineLevel="1">
      <c r="A44" s="1"/>
      <c r="B44" s="173" t="s">
        <v>46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</row>
    <row r="45" spans="1:12" ht="31.5" outlineLevel="1">
      <c r="B45" s="5" t="s">
        <v>31</v>
      </c>
      <c r="D45" s="5" t="s">
        <v>32</v>
      </c>
      <c r="F45" s="5" t="s">
        <v>33</v>
      </c>
      <c r="H45" s="5" t="s">
        <v>34</v>
      </c>
      <c r="J45" s="6" t="s">
        <v>35</v>
      </c>
      <c r="L45" s="5" t="s">
        <v>36</v>
      </c>
    </row>
    <row r="46" spans="1:12" outlineLevel="1"/>
    <row r="47" spans="1:12" outlineLevel="1">
      <c r="A47" s="7" t="s">
        <v>37</v>
      </c>
      <c r="B47" s="8">
        <v>17331.623169999999</v>
      </c>
      <c r="C47" s="9"/>
      <c r="D47" s="8">
        <v>4611.4340100000018</v>
      </c>
      <c r="E47" s="8"/>
      <c r="F47" s="8">
        <v>2188.7910000000002</v>
      </c>
      <c r="G47" s="8"/>
      <c r="H47" s="8">
        <v>1222.2491200000002</v>
      </c>
      <c r="I47" s="8">
        <v>0</v>
      </c>
      <c r="J47" s="8">
        <v>-1222.2491200000002</v>
      </c>
      <c r="K47" s="8"/>
      <c r="L47" s="8">
        <v>24131.848180000001</v>
      </c>
    </row>
    <row r="48" spans="1:12" outlineLevel="1">
      <c r="A48" s="10" t="s">
        <v>38</v>
      </c>
      <c r="B48" s="2">
        <v>17331.623169999999</v>
      </c>
      <c r="C48" s="11"/>
      <c r="D48" s="2">
        <v>4611.4340100000018</v>
      </c>
      <c r="F48" s="2">
        <v>2188.7910000000002</v>
      </c>
      <c r="L48" s="2">
        <v>24131.848180000001</v>
      </c>
    </row>
    <row r="49" spans="1:12" outlineLevel="1">
      <c r="A49" s="10" t="s">
        <v>39</v>
      </c>
      <c r="B49" s="2"/>
      <c r="C49" s="11"/>
      <c r="L49" s="2">
        <v>0</v>
      </c>
    </row>
    <row r="50" spans="1:12" outlineLevel="1">
      <c r="A50" s="10" t="s">
        <v>40</v>
      </c>
      <c r="B50" s="2"/>
      <c r="C50" s="11"/>
      <c r="H50" s="2">
        <v>1222.2491200000002</v>
      </c>
      <c r="J50" s="2">
        <v>-1222.2491200000002</v>
      </c>
      <c r="L50" s="2">
        <v>0</v>
      </c>
    </row>
    <row r="51" spans="1:12" outlineLevel="1">
      <c r="B51" s="2"/>
    </row>
    <row r="52" spans="1:12" outlineLevel="1">
      <c r="A52" s="7" t="s">
        <v>41</v>
      </c>
      <c r="B52" s="8">
        <v>-16260.114994840607</v>
      </c>
      <c r="C52" s="9"/>
      <c r="D52" s="8">
        <v>-2665.2762199999993</v>
      </c>
      <c r="E52" s="8"/>
      <c r="F52" s="8">
        <v>-1845.9839999999999</v>
      </c>
      <c r="G52" s="8"/>
      <c r="H52" s="8">
        <v>-1195.9845789803308</v>
      </c>
      <c r="I52" s="8"/>
      <c r="J52" s="8">
        <v>1222.2491200000002</v>
      </c>
      <c r="K52" s="8"/>
      <c r="L52" s="8">
        <v>-20745.110673820935</v>
      </c>
    </row>
    <row r="53" spans="1:12" outlineLevel="1">
      <c r="A53" s="19" t="s">
        <v>22</v>
      </c>
      <c r="B53" s="2">
        <v>-1694.0180000000003</v>
      </c>
      <c r="C53" s="2"/>
      <c r="D53" s="2">
        <v>-765.53992999999991</v>
      </c>
      <c r="F53" s="2">
        <v>-784.95600000000002</v>
      </c>
      <c r="H53" s="2">
        <v>-36.753159999999802</v>
      </c>
      <c r="J53" s="2">
        <v>466.14458999999982</v>
      </c>
      <c r="L53" s="2">
        <v>-2815.1224999999999</v>
      </c>
    </row>
    <row r="54" spans="1:12" outlineLevel="1">
      <c r="A54" s="19" t="s">
        <v>19</v>
      </c>
      <c r="B54" s="2">
        <v>-13187.12587</v>
      </c>
      <c r="C54" s="2"/>
      <c r="D54" s="2">
        <v>-360.53321999999997</v>
      </c>
      <c r="L54" s="2">
        <v>-13547.659089999999</v>
      </c>
    </row>
    <row r="55" spans="1:12" outlineLevel="1">
      <c r="A55" s="19" t="s">
        <v>23</v>
      </c>
      <c r="B55" s="2">
        <v>-1378.9711248406068</v>
      </c>
      <c r="C55" s="2"/>
      <c r="D55" s="2">
        <v>-1539.2030699999993</v>
      </c>
      <c r="F55" s="2">
        <v>-1061.028</v>
      </c>
      <c r="J55" s="2">
        <v>750</v>
      </c>
      <c r="L55" s="2">
        <v>-3229.2021948406064</v>
      </c>
    </row>
    <row r="56" spans="1:12" outlineLevel="1">
      <c r="A56" s="19" t="s">
        <v>24</v>
      </c>
      <c r="B56" s="2"/>
      <c r="C56" s="2"/>
      <c r="H56" s="2">
        <v>-1191.744818980331</v>
      </c>
      <c r="J56" s="2">
        <v>6.1045300000002607</v>
      </c>
      <c r="L56" s="2">
        <v>-1185.6402889803308</v>
      </c>
    </row>
    <row r="57" spans="1:12" outlineLevel="1">
      <c r="A57" s="19" t="s">
        <v>18</v>
      </c>
      <c r="B57" s="2"/>
      <c r="C57" s="2"/>
      <c r="H57" s="2">
        <v>32.51340000000004</v>
      </c>
      <c r="L57" s="2">
        <v>32.51340000000004</v>
      </c>
    </row>
    <row r="58" spans="1:12" outlineLevel="1"/>
    <row r="59" spans="1:12" ht="11" outlineLevel="1" thickBot="1">
      <c r="A59" s="7" t="s">
        <v>42</v>
      </c>
      <c r="B59" s="12">
        <v>1071.5081751593916</v>
      </c>
      <c r="C59" s="9"/>
      <c r="D59" s="12">
        <v>1946.1577900000025</v>
      </c>
      <c r="E59" s="8"/>
      <c r="F59" s="12">
        <v>342.80700000000024</v>
      </c>
      <c r="G59" s="8"/>
      <c r="H59" s="12">
        <v>26.264541019669423</v>
      </c>
      <c r="I59" s="8"/>
      <c r="J59" s="12">
        <v>0</v>
      </c>
      <c r="K59" s="8"/>
      <c r="L59" s="12">
        <v>3386.7375061790663</v>
      </c>
    </row>
    <row r="60" spans="1:12" outlineLevel="1">
      <c r="A60" s="4" t="s">
        <v>17</v>
      </c>
      <c r="B60" s="2">
        <v>-134.72900000000001</v>
      </c>
      <c r="D60" s="2">
        <v>-20.925850000000001</v>
      </c>
      <c r="F60" s="2">
        <v>-63.435000000000002</v>
      </c>
      <c r="H60" s="2">
        <v>-560.36048353310298</v>
      </c>
      <c r="J60" s="2">
        <v>-1.5309999999999999</v>
      </c>
      <c r="L60" s="2">
        <v>-780.981333533103</v>
      </c>
    </row>
    <row r="61" spans="1:12" outlineLevel="1"/>
    <row r="62" spans="1:12" ht="11" outlineLevel="1" thickBot="1">
      <c r="A62" s="7" t="s">
        <v>43</v>
      </c>
      <c r="B62" s="12">
        <v>1206.2371751593917</v>
      </c>
      <c r="C62" s="13"/>
      <c r="D62" s="12">
        <v>1967.0836400000026</v>
      </c>
      <c r="E62" s="8"/>
      <c r="F62" s="12">
        <v>406.24200000000025</v>
      </c>
      <c r="G62" s="8"/>
      <c r="H62" s="12">
        <v>586.6250245527724</v>
      </c>
      <c r="I62" s="8"/>
      <c r="J62" s="12">
        <v>1.5309999999999999</v>
      </c>
      <c r="K62" s="8"/>
      <c r="L62" s="12">
        <v>4167.718839712169</v>
      </c>
    </row>
    <row r="63" spans="1:12" outlineLevel="1"/>
    <row r="64" spans="1:12" outlineLevel="1"/>
    <row r="65" spans="1:12" outlineLevel="1"/>
    <row r="66" spans="1:12">
      <c r="A66" s="1"/>
      <c r="B66" s="173" t="s">
        <v>47</v>
      </c>
      <c r="C66" s="173"/>
      <c r="D66" s="173"/>
      <c r="E66" s="173"/>
      <c r="F66" s="173"/>
      <c r="G66" s="173"/>
      <c r="H66" s="173"/>
      <c r="I66" s="173"/>
      <c r="J66" s="173"/>
      <c r="K66" s="173"/>
      <c r="L66" s="173"/>
    </row>
    <row r="67" spans="1:12" ht="31.5">
      <c r="B67" s="5" t="s">
        <v>31</v>
      </c>
      <c r="D67" s="5" t="s">
        <v>32</v>
      </c>
      <c r="F67" s="5" t="s">
        <v>33</v>
      </c>
      <c r="H67" s="5" t="s">
        <v>34</v>
      </c>
      <c r="J67" s="6" t="s">
        <v>35</v>
      </c>
      <c r="L67" s="5" t="s">
        <v>36</v>
      </c>
    </row>
    <row r="69" spans="1:12">
      <c r="A69" s="7" t="s">
        <v>37</v>
      </c>
      <c r="B69" s="8">
        <v>28797.551360000001</v>
      </c>
      <c r="C69" s="9"/>
      <c r="D69" s="8">
        <v>13061.706300000002</v>
      </c>
      <c r="E69" s="8"/>
      <c r="F69" s="8">
        <v>4511.7950000000001</v>
      </c>
      <c r="G69" s="8"/>
      <c r="H69" s="8">
        <v>3988.16246</v>
      </c>
      <c r="I69" s="8"/>
      <c r="J69" s="8">
        <v>-3988.16246</v>
      </c>
      <c r="K69" s="8"/>
      <c r="L69" s="8">
        <v>46371.052660000001</v>
      </c>
    </row>
    <row r="70" spans="1:12">
      <c r="A70" s="10" t="s">
        <v>38</v>
      </c>
      <c r="B70" s="2">
        <v>28797.551360000001</v>
      </c>
      <c r="C70" s="11"/>
      <c r="D70" s="2">
        <v>13061.706300000002</v>
      </c>
      <c r="F70" s="2">
        <v>4511.7950000000001</v>
      </c>
      <c r="L70" s="2">
        <v>46371.052660000001</v>
      </c>
    </row>
    <row r="71" spans="1:12">
      <c r="A71" s="10" t="s">
        <v>39</v>
      </c>
      <c r="B71" s="2"/>
      <c r="C71" s="11"/>
      <c r="L71" s="2">
        <v>0</v>
      </c>
    </row>
    <row r="72" spans="1:12">
      <c r="A72" s="10" t="s">
        <v>40</v>
      </c>
      <c r="B72" s="2"/>
      <c r="C72" s="11"/>
      <c r="H72" s="2">
        <v>3988.16246</v>
      </c>
      <c r="J72" s="2">
        <v>-3988.16246</v>
      </c>
      <c r="L72" s="2">
        <v>0</v>
      </c>
    </row>
    <row r="73" spans="1:12">
      <c r="B73" s="2"/>
    </row>
    <row r="74" spans="1:12" outlineLevel="1">
      <c r="A74" s="7" t="s">
        <v>41</v>
      </c>
      <c r="B74" s="8">
        <v>-27643.710154521817</v>
      </c>
      <c r="C74" s="9"/>
      <c r="D74" s="8">
        <v>-8445.5188899999994</v>
      </c>
      <c r="E74" s="8"/>
      <c r="F74" s="8">
        <v>-3976.3160000000003</v>
      </c>
      <c r="G74" s="8">
        <v>0</v>
      </c>
      <c r="H74" s="8">
        <v>-5383.310436940993</v>
      </c>
      <c r="I74" s="8"/>
      <c r="J74" s="8">
        <v>3988.16246</v>
      </c>
      <c r="K74" s="8"/>
      <c r="L74" s="8">
        <v>-41460.693021462808</v>
      </c>
    </row>
    <row r="75" spans="1:12" outlineLevel="1">
      <c r="A75" s="19" t="s">
        <v>22</v>
      </c>
      <c r="B75" s="2">
        <v>-2850.3470000000002</v>
      </c>
      <c r="C75" s="2"/>
      <c r="D75" s="2">
        <v>-2512.1942599999998</v>
      </c>
      <c r="F75" s="2">
        <v>-1094.6030000000001</v>
      </c>
      <c r="H75" s="2">
        <v>-1471.1764599999999</v>
      </c>
      <c r="J75" s="2">
        <v>1724.0262599999999</v>
      </c>
      <c r="L75" s="2">
        <v>-6204.2944600000001</v>
      </c>
    </row>
    <row r="76" spans="1:12" outlineLevel="1">
      <c r="A76" s="19" t="s">
        <v>19</v>
      </c>
      <c r="B76" s="2">
        <v>-21001.635879999998</v>
      </c>
      <c r="C76" s="2"/>
      <c r="D76" s="2">
        <v>-1015.54264</v>
      </c>
      <c r="L76" s="2">
        <v>-22017.178519999998</v>
      </c>
    </row>
    <row r="77" spans="1:12" outlineLevel="1">
      <c r="A77" s="19" t="s">
        <v>23</v>
      </c>
      <c r="B77" s="2">
        <v>-3791.7272745218183</v>
      </c>
      <c r="C77" s="2"/>
      <c r="D77" s="2">
        <v>-4917.7819899999995</v>
      </c>
      <c r="F77" s="2">
        <v>-2881.7130000000002</v>
      </c>
      <c r="J77" s="2">
        <v>2250</v>
      </c>
      <c r="L77" s="2">
        <v>-9341.2222645218171</v>
      </c>
    </row>
    <row r="78" spans="1:12" outlineLevel="1">
      <c r="A78" s="19" t="s">
        <v>24</v>
      </c>
      <c r="B78" s="2"/>
      <c r="C78" s="2"/>
      <c r="H78" s="2">
        <v>-3996.9622869409927</v>
      </c>
      <c r="J78" s="2">
        <v>14.136200000000187</v>
      </c>
      <c r="L78" s="2">
        <v>-3982.8260869409924</v>
      </c>
    </row>
    <row r="79" spans="1:12" outlineLevel="1">
      <c r="A79" s="19" t="s">
        <v>18</v>
      </c>
      <c r="B79" s="2"/>
      <c r="C79" s="2"/>
      <c r="H79" s="2">
        <v>84.828310000000002</v>
      </c>
      <c r="L79" s="2">
        <v>84.828310000000002</v>
      </c>
    </row>
    <row r="80" spans="1:12" outlineLevel="1"/>
    <row r="81" spans="1:12" ht="11" thickBot="1">
      <c r="A81" s="7" t="s">
        <v>42</v>
      </c>
      <c r="B81" s="12">
        <v>1153.8412054781838</v>
      </c>
      <c r="C81" s="9"/>
      <c r="D81" s="12">
        <v>4616.1874100000023</v>
      </c>
      <c r="E81" s="8"/>
      <c r="F81" s="12">
        <v>535.47899999999981</v>
      </c>
      <c r="G81" s="12">
        <v>0</v>
      </c>
      <c r="H81" s="12">
        <v>-1395.147976940993</v>
      </c>
      <c r="I81" s="8"/>
      <c r="J81" s="12">
        <v>0</v>
      </c>
      <c r="K81" s="8"/>
      <c r="L81" s="12">
        <v>4910.359638537193</v>
      </c>
    </row>
    <row r="82" spans="1:12">
      <c r="A82" s="4" t="s">
        <v>17</v>
      </c>
      <c r="B82" s="2">
        <v>-388.59299999999996</v>
      </c>
      <c r="D82" s="2">
        <v>-43.994870000000006</v>
      </c>
      <c r="F82" s="2">
        <v>-186.83500000000001</v>
      </c>
      <c r="G82" s="2">
        <v>-186.83500000000001</v>
      </c>
      <c r="H82" s="2">
        <v>-1472.7637205993101</v>
      </c>
      <c r="J82" s="2">
        <v>-4.593</v>
      </c>
      <c r="L82" s="2">
        <v>-2283.6145905993098</v>
      </c>
    </row>
    <row r="83" spans="1:12">
      <c r="A83" s="15" t="s">
        <v>48</v>
      </c>
      <c r="B83" s="16">
        <f>B81/B69</f>
        <v>4.0067337359831132E-2</v>
      </c>
      <c r="D83" s="16">
        <f>D81/D69</f>
        <v>0.35341381163960189</v>
      </c>
      <c r="E83" s="16"/>
      <c r="F83" s="16">
        <f>F81/F69</f>
        <v>0.1186842487302725</v>
      </c>
      <c r="L83" s="16">
        <f>L81/L69</f>
        <v>0.10589277915558092</v>
      </c>
    </row>
    <row r="84" spans="1:12" ht="11" thickBot="1">
      <c r="A84" s="7" t="s">
        <v>43</v>
      </c>
      <c r="B84" s="12">
        <v>1542.4342054781837</v>
      </c>
      <c r="C84" s="13"/>
      <c r="D84" s="12">
        <v>4660.1822800000027</v>
      </c>
      <c r="E84" s="8"/>
      <c r="F84" s="12">
        <v>722.31399999999985</v>
      </c>
      <c r="G84" s="12">
        <v>186.83500000000001</v>
      </c>
      <c r="H84" s="12">
        <v>77.615743658317115</v>
      </c>
      <c r="I84" s="8"/>
      <c r="J84" s="12">
        <v>4.593</v>
      </c>
      <c r="K84" s="8"/>
      <c r="L84" s="12">
        <v>7193.9742291365028</v>
      </c>
    </row>
    <row r="85" spans="1:12">
      <c r="A85" s="15" t="s">
        <v>49</v>
      </c>
      <c r="B85" s="16">
        <f>B84/B69</f>
        <v>5.3561297146278747E-2</v>
      </c>
      <c r="D85" s="16">
        <f>D84/D69</f>
        <v>0.35678204462459873</v>
      </c>
      <c r="E85" s="16" t="e">
        <f>E84/E69</f>
        <v>#DIV/0!</v>
      </c>
      <c r="F85" s="16">
        <f>F84/F69</f>
        <v>0.16009459649651631</v>
      </c>
      <c r="L85" s="16">
        <f>L84/L69</f>
        <v>0.15513933405574973</v>
      </c>
    </row>
  </sheetData>
  <mergeCells count="4">
    <mergeCell ref="B2:L2"/>
    <mergeCell ref="B23:L23"/>
    <mergeCell ref="B44:L44"/>
    <mergeCell ref="B66:L66"/>
  </mergeCells>
  <pageMargins left="0.75" right="0.75" top="1" bottom="1" header="0.5" footer="0.5"/>
  <pageSetup paperSize="9" scale="88" orientation="portrait" r:id="rId1"/>
  <headerFooter alignWithMargins="0">
    <oddHeader>&amp;C Nota nr &amp;A str &amp;P / &amp;N</oddHeader>
    <oddFooter>&amp;C Nota nr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N117"/>
  <sheetViews>
    <sheetView workbookViewId="0"/>
  </sheetViews>
  <sheetFormatPr defaultColWidth="9.1796875" defaultRowHeight="10.5"/>
  <cols>
    <col min="1" max="1" width="29" style="4" customWidth="1"/>
    <col min="2" max="2" width="11.453125" style="3" bestFit="1" customWidth="1"/>
    <col min="3" max="3" width="1.453125" style="3" customWidth="1"/>
    <col min="4" max="4" width="10.54296875" style="2" customWidth="1"/>
    <col min="5" max="5" width="1" style="2" customWidth="1"/>
    <col min="6" max="6" width="10.54296875" style="2" customWidth="1"/>
    <col min="7" max="7" width="1" style="2" customWidth="1"/>
    <col min="8" max="8" width="10.54296875" style="2" customWidth="1"/>
    <col min="9" max="9" width="1" style="2" customWidth="1"/>
    <col min="10" max="10" width="10.54296875" style="2" customWidth="1"/>
    <col min="11" max="11" width="1" style="2" customWidth="1"/>
    <col min="12" max="12" width="10.54296875" style="3" customWidth="1"/>
    <col min="13" max="13" width="4.54296875" style="4" customWidth="1"/>
    <col min="14" max="14" width="11.453125" style="4" customWidth="1"/>
    <col min="15" max="15" width="9.54296875" style="4" customWidth="1"/>
    <col min="16" max="251" width="9.1796875" style="4" customWidth="1"/>
    <col min="252" max="16384" width="9.1796875" style="4"/>
  </cols>
  <sheetData>
    <row r="2" spans="1:13">
      <c r="A2" s="1" t="s">
        <v>56</v>
      </c>
      <c r="B2" s="17"/>
      <c r="C2" s="17"/>
    </row>
    <row r="3" spans="1:13" ht="31.5">
      <c r="B3" s="5" t="s">
        <v>31</v>
      </c>
      <c r="D3" s="5" t="s">
        <v>32</v>
      </c>
      <c r="F3" s="5" t="s">
        <v>33</v>
      </c>
      <c r="H3" s="5" t="s">
        <v>50</v>
      </c>
      <c r="J3" s="5" t="s">
        <v>36</v>
      </c>
    </row>
    <row r="5" spans="1:13" s="7" customFormat="1">
      <c r="A5" s="7" t="s">
        <v>37</v>
      </c>
      <c r="B5" s="8">
        <f>SUM(B6:B8)</f>
        <v>26850639.220000003</v>
      </c>
      <c r="C5" s="9"/>
      <c r="D5" s="8">
        <f>SUM(D6:D8)</f>
        <v>0</v>
      </c>
      <c r="E5" s="8"/>
      <c r="F5" s="8">
        <f>SUM(F6:F8)</f>
        <v>3818459.9</v>
      </c>
      <c r="G5" s="8"/>
      <c r="H5" s="8">
        <v>0</v>
      </c>
      <c r="I5" s="8"/>
      <c r="J5" s="8">
        <f>SUM(B5:H5)</f>
        <v>30669099.120000001</v>
      </c>
      <c r="K5" s="8"/>
      <c r="L5" s="9"/>
    </row>
    <row r="6" spans="1:13">
      <c r="A6" s="10" t="s">
        <v>38</v>
      </c>
      <c r="B6" s="2">
        <v>26786978.220000003</v>
      </c>
      <c r="C6" s="11"/>
      <c r="D6" s="2">
        <v>0</v>
      </c>
      <c r="F6" s="2">
        <v>3701864.69</v>
      </c>
      <c r="H6" s="2">
        <v>0</v>
      </c>
      <c r="J6" s="2">
        <f>SUM(B6:H6)</f>
        <v>30488842.910000004</v>
      </c>
    </row>
    <row r="7" spans="1:13">
      <c r="A7" s="10" t="s">
        <v>39</v>
      </c>
      <c r="B7" s="2">
        <v>63661</v>
      </c>
      <c r="C7" s="11"/>
      <c r="D7" s="2">
        <v>0</v>
      </c>
      <c r="F7" s="2">
        <v>116595.21</v>
      </c>
      <c r="H7" s="2">
        <v>0</v>
      </c>
      <c r="J7" s="2">
        <f>SUM(B7:H7)</f>
        <v>180256.21000000002</v>
      </c>
    </row>
    <row r="8" spans="1:13">
      <c r="A8" s="10" t="s">
        <v>40</v>
      </c>
      <c r="B8" s="2">
        <v>0</v>
      </c>
      <c r="C8" s="11"/>
      <c r="D8" s="2">
        <v>0</v>
      </c>
      <c r="F8" s="2">
        <v>0</v>
      </c>
      <c r="H8" s="2">
        <v>0</v>
      </c>
      <c r="J8" s="2">
        <f>SUM(B8:H8)</f>
        <v>0</v>
      </c>
    </row>
    <row r="9" spans="1:13">
      <c r="B9" s="2"/>
    </row>
    <row r="10" spans="1:13" s="7" customFormat="1">
      <c r="A10" s="7" t="s">
        <v>41</v>
      </c>
      <c r="B10" s="8">
        <f>SUM(B11:B15)</f>
        <v>23741051.189999998</v>
      </c>
      <c r="C10" s="9"/>
      <c r="D10" s="8">
        <f>SUM(D11:D15)</f>
        <v>0</v>
      </c>
      <c r="E10" s="8"/>
      <c r="F10" s="8">
        <f>SUM(F11:F15)</f>
        <v>2799028.85</v>
      </c>
      <c r="G10" s="8"/>
      <c r="H10" s="8">
        <f>SUM(H11:H15)</f>
        <v>2295469.5299999998</v>
      </c>
      <c r="I10" s="8"/>
      <c r="J10" s="8">
        <f t="shared" ref="J10:J15" si="0">SUM(B10:H10)</f>
        <v>28835549.57</v>
      </c>
      <c r="K10" s="8"/>
      <c r="L10" s="9"/>
    </row>
    <row r="11" spans="1:13">
      <c r="A11" s="20" t="s">
        <v>22</v>
      </c>
      <c r="B11" s="2">
        <v>2429513.87</v>
      </c>
      <c r="C11" s="2"/>
      <c r="D11" s="2">
        <v>0</v>
      </c>
      <c r="F11" s="2">
        <v>0</v>
      </c>
      <c r="H11" s="2">
        <v>0</v>
      </c>
      <c r="J11" s="2">
        <f t="shared" si="0"/>
        <v>2429513.87</v>
      </c>
      <c r="L11" s="2"/>
      <c r="M11" s="21"/>
    </row>
    <row r="12" spans="1:13">
      <c r="A12" s="20" t="s">
        <v>19</v>
      </c>
      <c r="B12" s="2">
        <v>17876162.399999999</v>
      </c>
      <c r="C12" s="2"/>
      <c r="D12" s="2">
        <v>0</v>
      </c>
      <c r="F12" s="2">
        <v>0</v>
      </c>
      <c r="H12" s="2">
        <v>0</v>
      </c>
      <c r="J12" s="2">
        <f t="shared" si="0"/>
        <v>17876162.399999999</v>
      </c>
      <c r="L12" s="2"/>
      <c r="M12" s="21"/>
    </row>
    <row r="13" spans="1:13">
      <c r="A13" s="20" t="s">
        <v>23</v>
      </c>
      <c r="B13" s="2">
        <v>3435374.92</v>
      </c>
      <c r="C13" s="2"/>
      <c r="D13" s="2">
        <v>0</v>
      </c>
      <c r="F13" s="2">
        <v>2799028.85</v>
      </c>
      <c r="H13" s="2">
        <v>17966.71</v>
      </c>
      <c r="J13" s="2">
        <f t="shared" si="0"/>
        <v>6252370.4799999995</v>
      </c>
      <c r="L13" s="2"/>
      <c r="M13" s="21"/>
    </row>
    <row r="14" spans="1:13">
      <c r="A14" s="20" t="s">
        <v>24</v>
      </c>
      <c r="B14" s="2">
        <v>0</v>
      </c>
      <c r="C14" s="2"/>
      <c r="D14" s="2">
        <v>0</v>
      </c>
      <c r="F14" s="2">
        <v>0</v>
      </c>
      <c r="H14" s="2">
        <v>2382364.34</v>
      </c>
      <c r="J14" s="2">
        <f t="shared" si="0"/>
        <v>2382364.34</v>
      </c>
      <c r="L14" s="2"/>
      <c r="M14" s="21"/>
    </row>
    <row r="15" spans="1:13">
      <c r="A15" s="20" t="s">
        <v>18</v>
      </c>
      <c r="B15" s="2">
        <v>0</v>
      </c>
      <c r="C15" s="2"/>
      <c r="D15" s="2">
        <v>0</v>
      </c>
      <c r="F15" s="2">
        <v>0</v>
      </c>
      <c r="H15" s="2">
        <v>-104861.52</v>
      </c>
      <c r="J15" s="2">
        <f t="shared" si="0"/>
        <v>-104861.52</v>
      </c>
    </row>
    <row r="17" spans="1:12" s="2" customFormat="1" ht="11" thickBot="1">
      <c r="A17" s="7" t="s">
        <v>42</v>
      </c>
      <c r="B17" s="12">
        <f>B5-B10</f>
        <v>3109588.0300000049</v>
      </c>
      <c r="C17" s="9"/>
      <c r="D17" s="12">
        <f>D5-D10</f>
        <v>0</v>
      </c>
      <c r="E17" s="8"/>
      <c r="F17" s="12">
        <f>F5-F10</f>
        <v>1019431.0499999998</v>
      </c>
      <c r="G17" s="8"/>
      <c r="H17" s="12">
        <f>H5-H10</f>
        <v>-2295469.5299999998</v>
      </c>
      <c r="I17" s="8"/>
      <c r="J17" s="12">
        <f>J5-J10</f>
        <v>1833549.5500000007</v>
      </c>
      <c r="L17" s="3"/>
    </row>
    <row r="18" spans="1:12" s="2" customFormat="1">
      <c r="A18" s="4" t="s">
        <v>17</v>
      </c>
      <c r="B18" s="2">
        <v>-155731.04</v>
      </c>
      <c r="C18" s="3"/>
      <c r="D18" s="2">
        <v>0</v>
      </c>
      <c r="F18" s="2">
        <v>-277105.13</v>
      </c>
      <c r="H18" s="2">
        <v>-214524.55</v>
      </c>
      <c r="J18" s="2">
        <f>SUM(B18:H18)</f>
        <v>-647360.72</v>
      </c>
      <c r="L18" s="3"/>
    </row>
    <row r="20" spans="1:12" s="2" customFormat="1" ht="11" thickBot="1">
      <c r="A20" s="7" t="s">
        <v>43</v>
      </c>
      <c r="B20" s="12">
        <f>B17-B18</f>
        <v>3265319.070000005</v>
      </c>
      <c r="C20" s="13"/>
      <c r="D20" s="12">
        <f>D17-D18</f>
        <v>0</v>
      </c>
      <c r="E20" s="8"/>
      <c r="F20" s="12">
        <f>F17-F18</f>
        <v>1296536.1799999997</v>
      </c>
      <c r="G20" s="8"/>
      <c r="H20" s="12">
        <f>H17-H18</f>
        <v>-2080944.9799999997</v>
      </c>
      <c r="I20" s="8"/>
      <c r="J20" s="12">
        <f>J17-J18</f>
        <v>2480910.2700000005</v>
      </c>
      <c r="L20" s="3"/>
    </row>
    <row r="25" spans="1:12" s="2" customFormat="1">
      <c r="A25" s="1" t="s">
        <v>51</v>
      </c>
      <c r="B25" s="17"/>
      <c r="C25" s="17"/>
      <c r="L25" s="3"/>
    </row>
    <row r="26" spans="1:12" s="2" customFormat="1" ht="31.5">
      <c r="A26" s="4"/>
      <c r="B26" s="5" t="s">
        <v>31</v>
      </c>
      <c r="C26" s="3"/>
      <c r="D26" s="5" t="s">
        <v>32</v>
      </c>
      <c r="F26" s="5" t="s">
        <v>33</v>
      </c>
      <c r="H26" s="5" t="s">
        <v>50</v>
      </c>
      <c r="J26" s="5" t="s">
        <v>36</v>
      </c>
      <c r="L26" s="3"/>
    </row>
    <row r="28" spans="1:12" s="2" customFormat="1">
      <c r="A28" s="7" t="s">
        <v>37</v>
      </c>
      <c r="B28" s="8">
        <f>SUM(B29:B31)</f>
        <v>41095129.259999998</v>
      </c>
      <c r="C28" s="9"/>
      <c r="D28" s="8">
        <f>SUM(D29:D31)</f>
        <v>170376.85</v>
      </c>
      <c r="E28" s="8"/>
      <c r="F28" s="8">
        <f>SUM(F29:F31)</f>
        <v>4392060</v>
      </c>
      <c r="G28" s="8"/>
      <c r="H28" s="8">
        <f>SUM(H29:H31)</f>
        <v>-580383.78</v>
      </c>
      <c r="I28" s="8"/>
      <c r="J28" s="8">
        <f>SUM(B28:H28)</f>
        <v>45077182.329999998</v>
      </c>
      <c r="L28" s="3"/>
    </row>
    <row r="29" spans="1:12" s="2" customFormat="1">
      <c r="A29" s="10" t="s">
        <v>38</v>
      </c>
      <c r="B29" s="2">
        <v>41080795.859999999</v>
      </c>
      <c r="C29" s="11"/>
      <c r="D29" s="2">
        <v>170376.85</v>
      </c>
      <c r="F29" s="2">
        <v>3699664.6399999997</v>
      </c>
      <c r="H29" s="2">
        <v>0</v>
      </c>
      <c r="J29" s="2">
        <f>SUM(B29:H29)</f>
        <v>44950837.350000001</v>
      </c>
      <c r="L29" s="3"/>
    </row>
    <row r="30" spans="1:12" s="2" customFormat="1">
      <c r="A30" s="10" t="s">
        <v>39</v>
      </c>
      <c r="B30" s="2">
        <v>14333.4</v>
      </c>
      <c r="C30" s="11"/>
      <c r="D30" s="2">
        <v>0</v>
      </c>
      <c r="F30" s="2">
        <v>112011.58</v>
      </c>
      <c r="H30" s="2">
        <v>0</v>
      </c>
      <c r="J30" s="2">
        <f>SUM(B30:H30)</f>
        <v>126344.98</v>
      </c>
      <c r="L30" s="3"/>
    </row>
    <row r="31" spans="1:12" s="2" customFormat="1">
      <c r="A31" s="10" t="s">
        <v>40</v>
      </c>
      <c r="B31" s="2">
        <v>0</v>
      </c>
      <c r="C31" s="11"/>
      <c r="D31" s="2">
        <v>0</v>
      </c>
      <c r="F31" s="2">
        <v>580383.78</v>
      </c>
      <c r="H31" s="2">
        <v>-580383.78</v>
      </c>
      <c r="J31" s="2">
        <f>SUM(B31:H31)</f>
        <v>0</v>
      </c>
      <c r="L31" s="3"/>
    </row>
    <row r="32" spans="1:12" s="2" customFormat="1">
      <c r="A32" s="4"/>
      <c r="C32" s="3"/>
      <c r="L32" s="3"/>
    </row>
    <row r="33" spans="1:13">
      <c r="A33" s="7" t="s">
        <v>41</v>
      </c>
      <c r="B33" s="8">
        <f>SUM(B34:B38)</f>
        <v>36599370.609999999</v>
      </c>
      <c r="C33" s="9"/>
      <c r="D33" s="8">
        <f>SUM(D34:D38)</f>
        <v>1623438.89</v>
      </c>
      <c r="E33" s="8"/>
      <c r="F33" s="8">
        <f>SUM(F34:F38)</f>
        <v>3444081.99</v>
      </c>
      <c r="G33" s="8"/>
      <c r="H33" s="8">
        <f>SUM(H34:H38)</f>
        <v>3924889.16</v>
      </c>
      <c r="I33" s="8"/>
      <c r="J33" s="8">
        <f t="shared" ref="J33:J38" si="1">SUM(B33:H33)</f>
        <v>45591780.650000006</v>
      </c>
    </row>
    <row r="34" spans="1:13">
      <c r="A34" s="20" t="s">
        <v>22</v>
      </c>
      <c r="B34" s="2">
        <v>4218652.76</v>
      </c>
      <c r="C34" s="2"/>
      <c r="D34" s="2">
        <v>186281.44</v>
      </c>
      <c r="F34" s="2">
        <v>109303.22</v>
      </c>
      <c r="H34" s="2">
        <v>0</v>
      </c>
      <c r="J34" s="2">
        <f t="shared" si="1"/>
        <v>4514237.42</v>
      </c>
      <c r="L34" s="2"/>
      <c r="M34" s="21"/>
    </row>
    <row r="35" spans="1:13">
      <c r="A35" s="20" t="s">
        <v>19</v>
      </c>
      <c r="B35" s="2">
        <v>28427650.350000001</v>
      </c>
      <c r="C35" s="2"/>
      <c r="D35" s="2">
        <v>0</v>
      </c>
      <c r="F35" s="2">
        <v>0</v>
      </c>
      <c r="H35" s="2">
        <v>0</v>
      </c>
      <c r="J35" s="2">
        <f t="shared" si="1"/>
        <v>28427650.350000001</v>
      </c>
      <c r="L35" s="2"/>
      <c r="M35" s="21"/>
    </row>
    <row r="36" spans="1:13">
      <c r="A36" s="20" t="s">
        <v>23</v>
      </c>
      <c r="B36" s="2">
        <v>3953067.5</v>
      </c>
      <c r="C36" s="2"/>
      <c r="D36" s="2">
        <v>1437157.45</v>
      </c>
      <c r="F36" s="2">
        <v>3334778.77</v>
      </c>
      <c r="H36" s="2">
        <v>-369753.83</v>
      </c>
      <c r="J36" s="2">
        <f t="shared" si="1"/>
        <v>8355249.8900000006</v>
      </c>
      <c r="L36" s="2"/>
      <c r="M36" s="21"/>
    </row>
    <row r="37" spans="1:13">
      <c r="A37" s="20" t="s">
        <v>24</v>
      </c>
      <c r="B37" s="2">
        <v>0</v>
      </c>
      <c r="C37" s="2"/>
      <c r="D37" s="2">
        <v>0</v>
      </c>
      <c r="F37" s="2">
        <v>0</v>
      </c>
      <c r="H37" s="2">
        <v>4244843.32</v>
      </c>
      <c r="J37" s="2">
        <f t="shared" si="1"/>
        <v>4244843.32</v>
      </c>
      <c r="L37" s="2"/>
      <c r="M37" s="21"/>
    </row>
    <row r="38" spans="1:13">
      <c r="A38" s="20" t="s">
        <v>18</v>
      </c>
      <c r="B38" s="2">
        <v>0</v>
      </c>
      <c r="C38" s="2"/>
      <c r="D38" s="2">
        <v>0</v>
      </c>
      <c r="F38" s="2">
        <v>0</v>
      </c>
      <c r="H38" s="2">
        <v>49799.67</v>
      </c>
      <c r="J38" s="2">
        <f t="shared" si="1"/>
        <v>49799.67</v>
      </c>
    </row>
    <row r="40" spans="1:13" ht="11" thickBot="1">
      <c r="A40" s="7" t="s">
        <v>42</v>
      </c>
      <c r="B40" s="12">
        <f>B28-B33</f>
        <v>4495758.6499999985</v>
      </c>
      <c r="C40" s="9"/>
      <c r="D40" s="12">
        <f>D28-D33</f>
        <v>-1453062.0399999998</v>
      </c>
      <c r="E40" s="8"/>
      <c r="F40" s="12">
        <f>F28-F33</f>
        <v>947978.00999999978</v>
      </c>
      <c r="G40" s="8"/>
      <c r="H40" s="12">
        <f>H28-H33</f>
        <v>-4505272.9400000004</v>
      </c>
      <c r="I40" s="8"/>
      <c r="J40" s="12">
        <f>J28-J33</f>
        <v>-514598.32000000775</v>
      </c>
    </row>
    <row r="41" spans="1:13">
      <c r="A41" s="4" t="s">
        <v>17</v>
      </c>
      <c r="B41" s="2">
        <v>-315564.32999999996</v>
      </c>
      <c r="C41" s="2"/>
      <c r="D41" s="2">
        <v>-159851.4</v>
      </c>
      <c r="F41" s="2">
        <v>-280804.40999999997</v>
      </c>
      <c r="H41" s="2">
        <v>-294827</v>
      </c>
      <c r="J41" s="2">
        <f>SUM(B41:H41)</f>
        <v>-1051047.1399999999</v>
      </c>
    </row>
    <row r="43" spans="1:13" ht="11" thickBot="1">
      <c r="A43" s="7" t="s">
        <v>43</v>
      </c>
      <c r="B43" s="12">
        <f>B40-B41</f>
        <v>4811322.9799999986</v>
      </c>
      <c r="C43" s="13"/>
      <c r="D43" s="12">
        <f>D40-D41</f>
        <v>-1293210.6399999999</v>
      </c>
      <c r="E43" s="8"/>
      <c r="F43" s="12">
        <f>F40-F41</f>
        <v>1228782.4199999997</v>
      </c>
      <c r="G43" s="8"/>
      <c r="H43" s="12">
        <f>H40-H41</f>
        <v>-4210445.9400000004</v>
      </c>
      <c r="I43" s="8"/>
      <c r="J43" s="12">
        <f>J40-J41</f>
        <v>536448.81999999215</v>
      </c>
    </row>
    <row r="50" spans="1:12">
      <c r="A50" s="1" t="s">
        <v>52</v>
      </c>
      <c r="B50" s="17"/>
      <c r="C50" s="17"/>
    </row>
    <row r="51" spans="1:12" ht="31.5">
      <c r="B51" s="5" t="s">
        <v>31</v>
      </c>
      <c r="D51" s="5" t="s">
        <v>32</v>
      </c>
      <c r="F51" s="5" t="s">
        <v>33</v>
      </c>
      <c r="H51" s="5" t="s">
        <v>50</v>
      </c>
      <c r="J51" s="5" t="s">
        <v>36</v>
      </c>
    </row>
    <row r="53" spans="1:12">
      <c r="A53" s="7" t="s">
        <v>37</v>
      </c>
      <c r="B53" s="8">
        <f>SUM(B54:B56)</f>
        <v>49539636.920000002</v>
      </c>
      <c r="C53" s="9"/>
      <c r="D53" s="8">
        <f>SUM(D54:D56)</f>
        <v>6966647.46</v>
      </c>
      <c r="E53" s="8"/>
      <c r="F53" s="8">
        <f>SUM(F54:F56)</f>
        <v>8218305.6499999985</v>
      </c>
      <c r="G53" s="8"/>
      <c r="H53" s="8">
        <f>SUM(H54:H56)</f>
        <v>-3273077.1999999997</v>
      </c>
      <c r="I53" s="8"/>
      <c r="J53" s="8">
        <f>SUM(B53:H53)</f>
        <v>61451512.829999998</v>
      </c>
      <c r="L53" s="3">
        <v>0</v>
      </c>
    </row>
    <row r="54" spans="1:12">
      <c r="A54" s="10" t="s">
        <v>38</v>
      </c>
      <c r="B54" s="2">
        <v>49524689.359999999</v>
      </c>
      <c r="C54" s="11"/>
      <c r="D54" s="2">
        <v>6966647.46</v>
      </c>
      <c r="F54" s="2">
        <v>4645660.959999999</v>
      </c>
      <c r="H54" s="2">
        <v>0</v>
      </c>
      <c r="J54" s="2">
        <f>SUM(B54:H54)</f>
        <v>61136997.780000001</v>
      </c>
    </row>
    <row r="55" spans="1:12">
      <c r="A55" s="10" t="s">
        <v>39</v>
      </c>
      <c r="B55" s="2">
        <v>14947.56</v>
      </c>
      <c r="C55" s="11"/>
      <c r="D55" s="2">
        <v>0</v>
      </c>
      <c r="F55" s="2">
        <v>299567.49</v>
      </c>
      <c r="H55" s="2">
        <v>0</v>
      </c>
      <c r="J55" s="2">
        <f>SUM(B55:H55)</f>
        <v>314515.05</v>
      </c>
    </row>
    <row r="56" spans="1:12">
      <c r="A56" s="10" t="s">
        <v>40</v>
      </c>
      <c r="B56" s="2">
        <v>0</v>
      </c>
      <c r="C56" s="11"/>
      <c r="D56" s="2">
        <v>0</v>
      </c>
      <c r="F56" s="2">
        <v>3273077.1999999997</v>
      </c>
      <c r="H56" s="2">
        <v>-3273077.1999999997</v>
      </c>
      <c r="J56" s="2">
        <f>SUM(B56:H56)</f>
        <v>0</v>
      </c>
    </row>
    <row r="57" spans="1:12">
      <c r="B57" s="2"/>
    </row>
    <row r="58" spans="1:12">
      <c r="A58" s="7" t="s">
        <v>41</v>
      </c>
      <c r="B58" s="8">
        <f>SUM(B59:B63)</f>
        <v>44370524.090000004</v>
      </c>
      <c r="C58" s="9"/>
      <c r="D58" s="8">
        <f>SUM(D59:D63)</f>
        <v>9708983.4400000013</v>
      </c>
      <c r="E58" s="8"/>
      <c r="F58" s="8">
        <f>SUM(F59:F63)</f>
        <v>4641438.1399999997</v>
      </c>
      <c r="G58" s="8"/>
      <c r="H58" s="8">
        <f>SUM(H59:H63)</f>
        <v>2831796.0283361925</v>
      </c>
      <c r="I58" s="8"/>
      <c r="J58" s="8">
        <f t="shared" ref="J58:J63" si="2">SUM(B58:H58)</f>
        <v>61552741.698336191</v>
      </c>
      <c r="L58" s="3">
        <v>2.5013014674186707E-3</v>
      </c>
    </row>
    <row r="59" spans="1:12">
      <c r="A59" s="20" t="s">
        <v>22</v>
      </c>
      <c r="B59" s="2">
        <v>891837.8899999999</v>
      </c>
      <c r="C59" s="2"/>
      <c r="D59" s="2">
        <v>1122024.5500000024</v>
      </c>
      <c r="F59" s="2">
        <v>227879.22</v>
      </c>
      <c r="H59" s="2">
        <v>0</v>
      </c>
      <c r="J59" s="2">
        <f t="shared" si="2"/>
        <v>2241741.6600000025</v>
      </c>
    </row>
    <row r="60" spans="1:12">
      <c r="A60" s="20" t="s">
        <v>19</v>
      </c>
      <c r="B60" s="2">
        <v>38641794.340000004</v>
      </c>
      <c r="C60" s="2"/>
      <c r="D60" s="2">
        <v>1609105.18</v>
      </c>
      <c r="F60" s="2">
        <v>0</v>
      </c>
      <c r="H60" s="2">
        <v>0</v>
      </c>
      <c r="J60" s="2">
        <f t="shared" si="2"/>
        <v>40250899.520000003</v>
      </c>
    </row>
    <row r="61" spans="1:12">
      <c r="A61" s="20" t="s">
        <v>23</v>
      </c>
      <c r="B61" s="2">
        <v>4836891.8600000003</v>
      </c>
      <c r="C61" s="2"/>
      <c r="D61" s="2">
        <v>6977853.71</v>
      </c>
      <c r="F61" s="2">
        <v>4413558.92</v>
      </c>
      <c r="H61" s="2">
        <v>-1838866.92</v>
      </c>
      <c r="J61" s="2">
        <f t="shared" si="2"/>
        <v>14389437.57</v>
      </c>
    </row>
    <row r="62" spans="1:12">
      <c r="A62" s="20" t="s">
        <v>24</v>
      </c>
      <c r="B62" s="2">
        <v>0</v>
      </c>
      <c r="C62" s="2"/>
      <c r="D62" s="2">
        <v>0</v>
      </c>
      <c r="F62" s="2">
        <v>0</v>
      </c>
      <c r="H62" s="2">
        <v>4463400.2083361922</v>
      </c>
      <c r="J62" s="2">
        <f t="shared" si="2"/>
        <v>4463400.2083361922</v>
      </c>
    </row>
    <row r="63" spans="1:12">
      <c r="A63" s="20" t="s">
        <v>18</v>
      </c>
      <c r="B63" s="2">
        <v>0</v>
      </c>
      <c r="C63" s="2"/>
      <c r="D63" s="2">
        <v>0</v>
      </c>
      <c r="F63" s="2">
        <v>0</v>
      </c>
      <c r="H63" s="2">
        <v>207262.74</v>
      </c>
      <c r="J63" s="2">
        <f t="shared" si="2"/>
        <v>207262.74</v>
      </c>
    </row>
    <row r="65" spans="1:12" ht="11" thickBot="1">
      <c r="A65" s="7" t="s">
        <v>42</v>
      </c>
      <c r="B65" s="12">
        <f>B53-B58</f>
        <v>5169112.8299999982</v>
      </c>
      <c r="C65" s="9"/>
      <c r="D65" s="12">
        <f>D53-D58</f>
        <v>-2742335.9800000014</v>
      </c>
      <c r="E65" s="8"/>
      <c r="F65" s="12">
        <f>F53-F58</f>
        <v>3576867.5099999988</v>
      </c>
      <c r="G65" s="8"/>
      <c r="H65" s="12">
        <f>H53-H58</f>
        <v>-6104873.2283361927</v>
      </c>
      <c r="I65" s="8"/>
      <c r="J65" s="12">
        <f>J53-J58</f>
        <v>-101228.86833619326</v>
      </c>
    </row>
    <row r="66" spans="1:12">
      <c r="A66" s="4" t="s">
        <v>17</v>
      </c>
      <c r="B66" s="2">
        <v>-437885.2</v>
      </c>
      <c r="C66" s="2"/>
      <c r="D66" s="2">
        <v>-1877675.04</v>
      </c>
      <c r="F66" s="2">
        <v>-266179.49</v>
      </c>
      <c r="H66" s="2">
        <v>-376048.07413241221</v>
      </c>
      <c r="J66" s="2">
        <f>SUM(B66:H66)</f>
        <v>-2957787.8041324127</v>
      </c>
      <c r="L66" s="3">
        <v>0</v>
      </c>
    </row>
    <row r="68" spans="1:12" ht="11" thickBot="1">
      <c r="A68" s="7" t="s">
        <v>43</v>
      </c>
      <c r="B68" s="12">
        <f>B65-B66</f>
        <v>5606998.0299999984</v>
      </c>
      <c r="C68" s="13"/>
      <c r="D68" s="12">
        <f>D65-D66</f>
        <v>-864660.94000000134</v>
      </c>
      <c r="E68" s="8"/>
      <c r="F68" s="12">
        <f>F65-F66</f>
        <v>3843046.9999999991</v>
      </c>
      <c r="G68" s="8"/>
      <c r="H68" s="12">
        <f>H65-H66</f>
        <v>-5728825.15420378</v>
      </c>
      <c r="I68" s="8"/>
      <c r="J68" s="12">
        <f>J65-J66</f>
        <v>2856558.9357962194</v>
      </c>
    </row>
    <row r="75" spans="1:12">
      <c r="A75" s="1" t="s">
        <v>53</v>
      </c>
      <c r="B75" s="17"/>
      <c r="C75" s="17"/>
    </row>
    <row r="76" spans="1:12" ht="31.5">
      <c r="B76" s="5" t="s">
        <v>31</v>
      </c>
      <c r="D76" s="5" t="s">
        <v>32</v>
      </c>
      <c r="F76" s="5" t="s">
        <v>33</v>
      </c>
      <c r="H76" s="5" t="s">
        <v>34</v>
      </c>
      <c r="J76" s="5" t="s">
        <v>35</v>
      </c>
      <c r="L76" s="5" t="s">
        <v>36</v>
      </c>
    </row>
    <row r="77" spans="1:12">
      <c r="L77" s="2"/>
    </row>
    <row r="78" spans="1:12">
      <c r="A78" s="7" t="s">
        <v>37</v>
      </c>
      <c r="B78" s="8">
        <f>SUM(B79:B81)</f>
        <v>53359520.377709188</v>
      </c>
      <c r="C78" s="9"/>
      <c r="D78" s="8">
        <f>SUM(D79:D81)</f>
        <v>18219395.219999999</v>
      </c>
      <c r="E78" s="8"/>
      <c r="F78" s="8">
        <f>SUM(F79:F81)</f>
        <v>5796912.0300000003</v>
      </c>
      <c r="G78" s="8"/>
      <c r="H78" s="8">
        <f>SUM(H79:H81)</f>
        <v>5247162.6722908253</v>
      </c>
      <c r="I78" s="8">
        <f>SUM(I79:I81)</f>
        <v>0</v>
      </c>
      <c r="J78" s="8">
        <f>SUM(J79:J81)</f>
        <v>-5247162.6722908253</v>
      </c>
      <c r="L78" s="8">
        <f>SUM(B78:J78)</f>
        <v>77375827.62770918</v>
      </c>
    </row>
    <row r="79" spans="1:12">
      <c r="A79" s="10" t="s">
        <v>38</v>
      </c>
      <c r="B79" s="2">
        <v>53359520.377709188</v>
      </c>
      <c r="C79" s="11"/>
      <c r="D79" s="2">
        <v>18219395.219999999</v>
      </c>
      <c r="F79" s="2">
        <v>5667173.4000000004</v>
      </c>
      <c r="H79" s="2">
        <v>0</v>
      </c>
      <c r="J79" s="2">
        <v>0</v>
      </c>
      <c r="L79" s="2">
        <f>SUM(B79:J79)</f>
        <v>77246088.997709185</v>
      </c>
    </row>
    <row r="80" spans="1:12">
      <c r="A80" s="10" t="s">
        <v>39</v>
      </c>
      <c r="B80" s="2">
        <v>0</v>
      </c>
      <c r="C80" s="11"/>
      <c r="D80" s="2">
        <v>0</v>
      </c>
      <c r="F80" s="2">
        <v>129738.63</v>
      </c>
      <c r="H80" s="2">
        <v>0</v>
      </c>
      <c r="J80" s="2">
        <v>0</v>
      </c>
      <c r="L80" s="2">
        <f>SUM(B80:J80)</f>
        <v>129738.63</v>
      </c>
    </row>
    <row r="81" spans="1:14">
      <c r="A81" s="10" t="s">
        <v>40</v>
      </c>
      <c r="B81" s="2">
        <v>0</v>
      </c>
      <c r="C81" s="11"/>
      <c r="D81" s="2">
        <v>0</v>
      </c>
      <c r="F81" s="2">
        <v>0</v>
      </c>
      <c r="H81" s="2">
        <v>5247162.6722908253</v>
      </c>
      <c r="J81" s="2">
        <v>-5247162.6722908253</v>
      </c>
      <c r="L81" s="2">
        <f>SUM(B81:J81)</f>
        <v>0</v>
      </c>
    </row>
    <row r="82" spans="1:14">
      <c r="B82" s="2"/>
      <c r="L82" s="2"/>
    </row>
    <row r="83" spans="1:14">
      <c r="A83" s="7" t="s">
        <v>41</v>
      </c>
      <c r="B83" s="8">
        <f>SUM(B84:B88)</f>
        <v>46054032.030000001</v>
      </c>
      <c r="C83" s="9"/>
      <c r="D83" s="8">
        <f>SUM(D84:D88)</f>
        <v>12499256.971986184</v>
      </c>
      <c r="E83" s="8"/>
      <c r="F83" s="8">
        <f>SUM(F84:F88)</f>
        <v>5309885.12</v>
      </c>
      <c r="G83" s="8"/>
      <c r="H83" s="8">
        <f>SUM(H84:H88)</f>
        <v>6882702.7379722735</v>
      </c>
      <c r="I83" s="8">
        <f>SUM(I84:I88)</f>
        <v>0</v>
      </c>
      <c r="J83" s="8">
        <f>SUM(J84:J88)</f>
        <v>-3717603.7065045964</v>
      </c>
      <c r="L83" s="8">
        <f t="shared" ref="L83:L88" si="3">SUM(B83:J83)</f>
        <v>67028273.153453857</v>
      </c>
    </row>
    <row r="84" spans="1:14">
      <c r="A84" s="20" t="s">
        <v>22</v>
      </c>
      <c r="B84" s="2">
        <v>8944446.4100000001</v>
      </c>
      <c r="C84" s="2"/>
      <c r="D84" s="2">
        <v>8660472.2899999991</v>
      </c>
      <c r="F84" s="2">
        <v>5309885.12</v>
      </c>
      <c r="H84" s="2">
        <v>1858121.8319861901</v>
      </c>
      <c r="J84" s="2">
        <v>-4861624.8100000005</v>
      </c>
      <c r="L84" s="2">
        <f t="shared" si="3"/>
        <v>19911300.841986187</v>
      </c>
      <c r="N84" s="4">
        <v>-1.9861795008182526E-3</v>
      </c>
    </row>
    <row r="85" spans="1:14">
      <c r="A85" s="20" t="s">
        <v>19</v>
      </c>
      <c r="B85" s="2">
        <v>34727324.960000001</v>
      </c>
      <c r="C85" s="2"/>
      <c r="D85" s="2">
        <v>1450555.3299999982</v>
      </c>
      <c r="F85" s="2">
        <v>0</v>
      </c>
      <c r="H85" s="2">
        <v>0</v>
      </c>
      <c r="J85" s="2">
        <v>1237195.9699999988</v>
      </c>
      <c r="L85" s="2">
        <f t="shared" si="3"/>
        <v>37415076.259999998</v>
      </c>
      <c r="N85" s="4">
        <v>0</v>
      </c>
    </row>
    <row r="86" spans="1:14">
      <c r="A86" s="20" t="s">
        <v>23</v>
      </c>
      <c r="B86" s="2">
        <v>2382260.66</v>
      </c>
      <c r="C86" s="2"/>
      <c r="D86" s="2">
        <v>1348990.06</v>
      </c>
      <c r="H86" s="2">
        <v>0</v>
      </c>
      <c r="J86" s="2">
        <v>-113301</v>
      </c>
      <c r="L86" s="2">
        <f t="shared" si="3"/>
        <v>3617949.72</v>
      </c>
      <c r="N86" s="4">
        <v>-0.40849079610779881</v>
      </c>
    </row>
    <row r="87" spans="1:14">
      <c r="A87" s="20" t="s">
        <v>24</v>
      </c>
      <c r="B87" s="2">
        <v>0</v>
      </c>
      <c r="C87" s="2"/>
      <c r="D87" s="2">
        <v>1059365.4219861859</v>
      </c>
      <c r="F87" s="2">
        <v>0</v>
      </c>
      <c r="H87" s="2">
        <v>5192228.4959860835</v>
      </c>
      <c r="J87" s="2">
        <v>0</v>
      </c>
      <c r="L87" s="2">
        <f t="shared" si="3"/>
        <v>6251593.9179722695</v>
      </c>
      <c r="N87" s="4">
        <v>0</v>
      </c>
    </row>
    <row r="88" spans="1:14">
      <c r="A88" s="20" t="s">
        <v>18</v>
      </c>
      <c r="B88" s="2">
        <v>0</v>
      </c>
      <c r="C88" s="2"/>
      <c r="D88" s="2">
        <v>-20126.13</v>
      </c>
      <c r="F88" s="2">
        <v>0</v>
      </c>
      <c r="H88" s="2">
        <v>-167647.58999999997</v>
      </c>
      <c r="J88" s="2">
        <v>20126.133495405302</v>
      </c>
      <c r="L88" s="2">
        <f t="shared" si="3"/>
        <v>-167647.58650459466</v>
      </c>
      <c r="N88" s="4">
        <v>-3.4954053116962314E-3</v>
      </c>
    </row>
    <row r="89" spans="1:14">
      <c r="L89" s="2"/>
    </row>
    <row r="90" spans="1:14" ht="11" thickBot="1">
      <c r="A90" s="7" t="s">
        <v>42</v>
      </c>
      <c r="B90" s="12">
        <f>B78-B83</f>
        <v>7305488.3477091864</v>
      </c>
      <c r="C90" s="9"/>
      <c r="D90" s="12">
        <f>D78-D83</f>
        <v>5720138.2480138149</v>
      </c>
      <c r="E90" s="8"/>
      <c r="F90" s="12">
        <f>F78-F83</f>
        <v>487026.91000000015</v>
      </c>
      <c r="G90" s="8"/>
      <c r="H90" s="12">
        <f>H78-H83</f>
        <v>-1635540.0656814482</v>
      </c>
      <c r="I90" s="8"/>
      <c r="J90" s="12">
        <f>J78-J83</f>
        <v>-1529558.9657862289</v>
      </c>
      <c r="L90" s="12">
        <f>L78-L83</f>
        <v>10347554.474255323</v>
      </c>
      <c r="N90" s="4">
        <v>-0.41397238150238991</v>
      </c>
    </row>
    <row r="91" spans="1:14">
      <c r="A91" s="4" t="s">
        <v>17</v>
      </c>
      <c r="B91" s="2">
        <v>-510884.5</v>
      </c>
      <c r="C91" s="2" t="e">
        <f>#REF!</f>
        <v>#REF!</v>
      </c>
      <c r="D91" s="2">
        <v>-64178.57</v>
      </c>
      <c r="E91" s="2" t="e">
        <f>#REF!</f>
        <v>#REF!</v>
      </c>
      <c r="F91" s="2">
        <v>-248408.67</v>
      </c>
      <c r="G91" s="2" t="e">
        <f>#REF!</f>
        <v>#REF!</v>
      </c>
      <c r="H91" s="2">
        <v>-2220766.75413241</v>
      </c>
      <c r="I91" s="2" t="e">
        <f>#REF!</f>
        <v>#REF!</v>
      </c>
      <c r="J91" s="2">
        <v>0</v>
      </c>
      <c r="L91" s="2">
        <v>-3044238.4941324098</v>
      </c>
      <c r="N91" s="4">
        <v>0</v>
      </c>
    </row>
    <row r="92" spans="1:14">
      <c r="L92" s="2"/>
    </row>
    <row r="93" spans="1:14" ht="11" thickBot="1">
      <c r="A93" s="7" t="s">
        <v>43</v>
      </c>
      <c r="B93" s="12">
        <f>B90-B91</f>
        <v>7816372.8477091864</v>
      </c>
      <c r="C93" s="13"/>
      <c r="D93" s="12">
        <f>D90-D91</f>
        <v>5784316.8180138152</v>
      </c>
      <c r="E93" s="8"/>
      <c r="F93" s="12">
        <f>F90-F91</f>
        <v>735435.58000000019</v>
      </c>
      <c r="G93" s="8"/>
      <c r="H93" s="12">
        <f>H90-H91</f>
        <v>585226.68845096184</v>
      </c>
      <c r="I93" s="8"/>
      <c r="J93" s="12">
        <f>J90-J91</f>
        <v>-1529558.9657862289</v>
      </c>
      <c r="L93" s="12">
        <f>L90-L91</f>
        <v>13391792.968387734</v>
      </c>
    </row>
    <row r="99" spans="1:14">
      <c r="A99" s="1" t="s">
        <v>55</v>
      </c>
      <c r="B99" s="17"/>
      <c r="C99" s="17"/>
    </row>
    <row r="100" spans="1:14" ht="31.5">
      <c r="B100" s="5" t="s">
        <v>31</v>
      </c>
      <c r="D100" s="5" t="s">
        <v>32</v>
      </c>
      <c r="F100" s="5" t="s">
        <v>33</v>
      </c>
      <c r="H100" s="5" t="s">
        <v>34</v>
      </c>
      <c r="J100" s="5" t="s">
        <v>35</v>
      </c>
      <c r="L100" s="5" t="s">
        <v>36</v>
      </c>
    </row>
    <row r="101" spans="1:14">
      <c r="L101" s="2"/>
    </row>
    <row r="102" spans="1:14">
      <c r="A102" s="7" t="s">
        <v>37</v>
      </c>
      <c r="B102" s="8">
        <f>SUM(B103:B105)</f>
        <v>56953576.519999996</v>
      </c>
      <c r="C102" s="9"/>
      <c r="D102" s="8">
        <f>SUM(D103:D105)</f>
        <v>16691761.069999998</v>
      </c>
      <c r="E102" s="8"/>
      <c r="F102" s="8">
        <f>SUM(F103:F105)</f>
        <v>5048068.4799999995</v>
      </c>
      <c r="G102" s="8"/>
      <c r="H102" s="8">
        <f>SUM(H103:H105)</f>
        <v>4932601.24</v>
      </c>
      <c r="I102" s="8"/>
      <c r="J102" s="8">
        <f>SUM(J103:J105)</f>
        <v>-4932601.24</v>
      </c>
      <c r="L102" s="8">
        <f>SUM(B102:J102)</f>
        <v>78693406.069999993</v>
      </c>
    </row>
    <row r="103" spans="1:14">
      <c r="A103" s="10" t="s">
        <v>38</v>
      </c>
      <c r="B103" s="2">
        <v>56953576.519999996</v>
      </c>
      <c r="C103" s="11"/>
      <c r="D103" s="2">
        <v>16691761.069999998</v>
      </c>
      <c r="F103" s="2">
        <v>4588310.2399999993</v>
      </c>
      <c r="H103" s="2">
        <v>0</v>
      </c>
      <c r="J103" s="2">
        <v>0</v>
      </c>
      <c r="L103" s="2">
        <f>SUM(B103:J103)</f>
        <v>78233647.829999983</v>
      </c>
    </row>
    <row r="104" spans="1:14">
      <c r="A104" s="10" t="s">
        <v>39</v>
      </c>
      <c r="B104" s="2">
        <v>0</v>
      </c>
      <c r="C104" s="11"/>
      <c r="D104" s="2">
        <v>0</v>
      </c>
      <c r="F104" s="2">
        <v>459758.24</v>
      </c>
      <c r="H104" s="2">
        <v>0</v>
      </c>
      <c r="J104" s="2">
        <v>0</v>
      </c>
      <c r="L104" s="2">
        <f>SUM(B104:J104)</f>
        <v>459758.24</v>
      </c>
    </row>
    <row r="105" spans="1:14">
      <c r="A105" s="10" t="s">
        <v>40</v>
      </c>
      <c r="B105" s="2">
        <v>0</v>
      </c>
      <c r="C105" s="11"/>
      <c r="D105" s="2">
        <v>0</v>
      </c>
      <c r="F105" s="2">
        <v>0</v>
      </c>
      <c r="H105" s="2">
        <v>4932601.24</v>
      </c>
      <c r="J105" s="2">
        <v>-4932601.24</v>
      </c>
      <c r="L105" s="2">
        <f>SUM(B105:J105)</f>
        <v>0</v>
      </c>
    </row>
    <row r="106" spans="1:14">
      <c r="B106" s="2"/>
      <c r="L106" s="2"/>
    </row>
    <row r="107" spans="1:14">
      <c r="A107" s="7" t="s">
        <v>41</v>
      </c>
      <c r="B107" s="8">
        <f>SUM(B108:B112)</f>
        <v>52217010.290000007</v>
      </c>
      <c r="C107" s="9"/>
      <c r="D107" s="8">
        <f>SUM(D108:D112)</f>
        <v>13514184.02</v>
      </c>
      <c r="E107" s="8"/>
      <c r="F107" s="8">
        <f>SUM(F108:F112)</f>
        <v>4179912.33</v>
      </c>
      <c r="G107" s="8"/>
      <c r="H107" s="8">
        <f>SUM(H108:H112)</f>
        <v>8236063.8999999994</v>
      </c>
      <c r="I107" s="8"/>
      <c r="J107" s="8">
        <f>SUM(J108:J112)</f>
        <v>-4853399.5400000038</v>
      </c>
      <c r="L107" s="8">
        <f t="shared" ref="L107:L112" si="4">SUM(B107:J107)</f>
        <v>73293771</v>
      </c>
    </row>
    <row r="108" spans="1:14">
      <c r="A108" s="20" t="s">
        <v>22</v>
      </c>
      <c r="B108" s="2">
        <v>6066826.2999999989</v>
      </c>
      <c r="C108" s="2"/>
      <c r="D108" s="2">
        <v>9051361</v>
      </c>
      <c r="F108" s="2">
        <v>4179912.33</v>
      </c>
      <c r="H108" s="2">
        <v>3085260.62</v>
      </c>
      <c r="J108" s="2">
        <v>-5207593.0500000007</v>
      </c>
      <c r="L108" s="2">
        <f t="shared" si="4"/>
        <v>17175767.199999999</v>
      </c>
      <c r="N108" s="4">
        <v>0</v>
      </c>
    </row>
    <row r="109" spans="1:14">
      <c r="A109" s="20" t="s">
        <v>19</v>
      </c>
      <c r="B109" s="2">
        <v>43168416.400000006</v>
      </c>
      <c r="C109" s="2"/>
      <c r="D109" s="2">
        <v>1920056.01</v>
      </c>
      <c r="F109" s="2">
        <v>0</v>
      </c>
      <c r="H109" s="2">
        <v>0</v>
      </c>
      <c r="J109" s="2">
        <v>347945.47999999701</v>
      </c>
      <c r="L109" s="2">
        <f t="shared" si="4"/>
        <v>45436417.890000001</v>
      </c>
      <c r="N109" s="4">
        <v>0</v>
      </c>
    </row>
    <row r="110" spans="1:14">
      <c r="A110" s="20" t="s">
        <v>23</v>
      </c>
      <c r="B110" s="2">
        <v>2981767.5900000003</v>
      </c>
      <c r="C110" s="2"/>
      <c r="D110" s="2">
        <v>1242661</v>
      </c>
      <c r="F110" s="2">
        <v>0</v>
      </c>
      <c r="H110" s="2">
        <v>0</v>
      </c>
      <c r="J110" s="2">
        <v>0</v>
      </c>
      <c r="L110" s="2">
        <f t="shared" si="4"/>
        <v>4224428.59</v>
      </c>
      <c r="N110" s="4">
        <v>0</v>
      </c>
    </row>
    <row r="111" spans="1:14">
      <c r="A111" s="20" t="s">
        <v>24</v>
      </c>
      <c r="B111" s="2">
        <v>0</v>
      </c>
      <c r="C111" s="2"/>
      <c r="D111" s="2">
        <v>1291975.2</v>
      </c>
      <c r="F111" s="2">
        <v>0</v>
      </c>
      <c r="H111" s="2">
        <v>5090762.6599999992</v>
      </c>
      <c r="J111" s="2">
        <v>-15888.27</v>
      </c>
      <c r="L111" s="2">
        <f t="shared" si="4"/>
        <v>6366849.5899999999</v>
      </c>
      <c r="N111" s="4">
        <v>0</v>
      </c>
    </row>
    <row r="112" spans="1:14">
      <c r="A112" s="20" t="s">
        <v>18</v>
      </c>
      <c r="B112" s="2">
        <v>0</v>
      </c>
      <c r="C112" s="2"/>
      <c r="D112" s="2">
        <v>8130.8100000000013</v>
      </c>
      <c r="F112" s="2">
        <v>0</v>
      </c>
      <c r="H112" s="2">
        <v>60040.619999999995</v>
      </c>
      <c r="J112" s="2">
        <v>22136.3</v>
      </c>
      <c r="L112" s="2">
        <f t="shared" si="4"/>
        <v>90307.73</v>
      </c>
      <c r="N112" s="4">
        <v>0</v>
      </c>
    </row>
    <row r="113" spans="1:14">
      <c r="L113" s="2"/>
    </row>
    <row r="114" spans="1:14" ht="11" thickBot="1">
      <c r="A114" s="7" t="s">
        <v>42</v>
      </c>
      <c r="B114" s="12">
        <f>B102-B107</f>
        <v>4736566.2299999893</v>
      </c>
      <c r="C114" s="9"/>
      <c r="D114" s="12">
        <f>D102-D107</f>
        <v>3177577.0499999989</v>
      </c>
      <c r="E114" s="8"/>
      <c r="F114" s="12">
        <f>F102-F107</f>
        <v>868156.14999999944</v>
      </c>
      <c r="G114" s="8"/>
      <c r="H114" s="12">
        <f>H102-H107</f>
        <v>-3303462.6599999992</v>
      </c>
      <c r="I114" s="8"/>
      <c r="J114" s="12">
        <f>J102-J107</f>
        <v>-79201.699999996461</v>
      </c>
      <c r="L114" s="12">
        <f>L102-L107</f>
        <v>5399635.0699999928</v>
      </c>
      <c r="N114" s="4">
        <v>0</v>
      </c>
    </row>
    <row r="115" spans="1:14">
      <c r="A115" s="4" t="s">
        <v>17</v>
      </c>
      <c r="B115" s="2">
        <v>-738573.13000000012</v>
      </c>
      <c r="C115" s="2"/>
      <c r="D115" s="2">
        <v>-109402.94</v>
      </c>
      <c r="F115" s="2">
        <v>-228152.97999999998</v>
      </c>
      <c r="H115" s="2">
        <v>-2817213.3899999997</v>
      </c>
      <c r="I115" s="2" t="e">
        <f>#REF!</f>
        <v>#REF!</v>
      </c>
      <c r="J115" s="2">
        <v>0</v>
      </c>
      <c r="L115" s="2">
        <v>-3893342.4399999995</v>
      </c>
      <c r="N115" s="4">
        <v>0</v>
      </c>
    </row>
    <row r="116" spans="1:14">
      <c r="L116" s="2"/>
    </row>
    <row r="117" spans="1:14" ht="11" thickBot="1">
      <c r="A117" s="7" t="s">
        <v>43</v>
      </c>
      <c r="B117" s="12">
        <f>B114-B115</f>
        <v>5475139.3599999892</v>
      </c>
      <c r="C117" s="13"/>
      <c r="D117" s="12">
        <f>D114-D115</f>
        <v>3286979.9899999988</v>
      </c>
      <c r="E117" s="8"/>
      <c r="F117" s="12">
        <f>F114-F115</f>
        <v>1096309.1299999994</v>
      </c>
      <c r="G117" s="8"/>
      <c r="H117" s="12">
        <f>H114-H115</f>
        <v>-486249.26999999955</v>
      </c>
      <c r="I117" s="8"/>
      <c r="J117" s="12">
        <f>J114-J115</f>
        <v>-79201.699999996461</v>
      </c>
      <c r="L117" s="12">
        <f>L114-L115</f>
        <v>9292977.5099999923</v>
      </c>
    </row>
  </sheetData>
  <pageMargins left="0.75" right="0.75" top="1" bottom="1" header="0.5" footer="0.5"/>
  <pageSetup paperSize="9" scale="88" orientation="portrait" r:id="rId1"/>
  <headerFooter alignWithMargins="0">
    <oddHeader>&amp;C Nota nr &amp;A str &amp;P / &amp;N</oddHeader>
    <oddFooter>&amp;C Nota nr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IQ61"/>
  <sheetViews>
    <sheetView workbookViewId="0"/>
  </sheetViews>
  <sheetFormatPr defaultColWidth="9.1796875" defaultRowHeight="10.5" outlineLevelRow="1" outlineLevelCol="1"/>
  <cols>
    <col min="1" max="1" width="29" style="4" customWidth="1"/>
    <col min="2" max="2" width="10.54296875" style="3" customWidth="1"/>
    <col min="3" max="3" width="1.453125" style="3" customWidth="1"/>
    <col min="4" max="4" width="10.54296875" style="2" customWidth="1"/>
    <col min="5" max="5" width="1" style="2" customWidth="1"/>
    <col min="6" max="6" width="10.54296875" style="2" customWidth="1"/>
    <col min="7" max="7" width="1" style="2" hidden="1" customWidth="1" outlineLevel="1"/>
    <col min="8" max="8" width="10.54296875" style="2" hidden="1" customWidth="1" outlineLevel="1"/>
    <col min="9" max="9" width="1" style="2" customWidth="1" collapsed="1"/>
    <col min="10" max="10" width="10.54296875" style="2" customWidth="1"/>
    <col min="11" max="11" width="1" style="2" customWidth="1"/>
    <col min="12" max="248" width="9.1796875" style="4" customWidth="1"/>
    <col min="249" max="16384" width="9.1796875" style="4"/>
  </cols>
  <sheetData>
    <row r="1" spans="1:251" s="2" customFormat="1">
      <c r="A1" s="1" t="s">
        <v>51</v>
      </c>
      <c r="B1" s="17"/>
      <c r="C1" s="17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</row>
    <row r="2" spans="1:251" s="2" customFormat="1" ht="31.5">
      <c r="A2" s="4"/>
      <c r="B2" s="5" t="s">
        <v>31</v>
      </c>
      <c r="C2" s="3"/>
      <c r="D2" s="5" t="s">
        <v>32</v>
      </c>
      <c r="F2" s="5" t="s">
        <v>33</v>
      </c>
      <c r="H2" s="5" t="s">
        <v>50</v>
      </c>
      <c r="J2" s="5" t="s">
        <v>36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</row>
    <row r="4" spans="1:251" s="2" customFormat="1">
      <c r="A4" s="7" t="s">
        <v>37</v>
      </c>
      <c r="B4" s="8">
        <v>41095129.259999998</v>
      </c>
      <c r="C4" s="9"/>
      <c r="D4" s="8">
        <v>170376.85</v>
      </c>
      <c r="E4" s="8"/>
      <c r="F4" s="8">
        <v>4392060</v>
      </c>
      <c r="G4" s="8"/>
      <c r="H4" s="8">
        <v>-580383.78</v>
      </c>
      <c r="I4" s="8"/>
      <c r="J4" s="8">
        <v>45077182.329999998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</row>
    <row r="5" spans="1:251" s="2" customFormat="1">
      <c r="A5" s="10" t="s">
        <v>38</v>
      </c>
      <c r="B5" s="2">
        <v>41080795.859999999</v>
      </c>
      <c r="C5" s="11"/>
      <c r="D5" s="2">
        <v>170376.85</v>
      </c>
      <c r="F5" s="2">
        <v>3699664.6399999997</v>
      </c>
      <c r="H5" s="2">
        <v>0</v>
      </c>
      <c r="J5" s="2">
        <v>44950837.350000001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</row>
    <row r="6" spans="1:251" s="2" customFormat="1">
      <c r="A6" s="10" t="s">
        <v>39</v>
      </c>
      <c r="B6" s="2">
        <v>14333.4</v>
      </c>
      <c r="C6" s="11"/>
      <c r="D6" s="2">
        <v>0</v>
      </c>
      <c r="F6" s="2">
        <v>112011.58</v>
      </c>
      <c r="H6" s="2">
        <v>0</v>
      </c>
      <c r="J6" s="2">
        <v>126344.98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 spans="1:251" s="2" customFormat="1">
      <c r="A7" s="10" t="s">
        <v>40</v>
      </c>
      <c r="B7" s="2">
        <v>0</v>
      </c>
      <c r="C7" s="11"/>
      <c r="D7" s="2">
        <v>0</v>
      </c>
      <c r="F7" s="2">
        <v>580383.78</v>
      </c>
      <c r="H7" s="2">
        <v>-580383.78</v>
      </c>
      <c r="J7" s="2">
        <v>0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 spans="1:251" s="2" customFormat="1">
      <c r="A8" s="4"/>
      <c r="C8" s="3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 spans="1:251" hidden="1" outlineLevel="1">
      <c r="A9" s="7" t="s">
        <v>41</v>
      </c>
      <c r="B9" s="8">
        <v>36599370.609999999</v>
      </c>
      <c r="C9" s="9"/>
      <c r="D9" s="8">
        <v>1623438.89</v>
      </c>
      <c r="E9" s="8"/>
      <c r="F9" s="8">
        <v>3444081.99</v>
      </c>
      <c r="G9" s="8"/>
      <c r="H9" s="8">
        <v>3924889.16</v>
      </c>
      <c r="I9" s="8"/>
      <c r="J9" s="8">
        <v>45591780.650000006</v>
      </c>
    </row>
    <row r="10" spans="1:251" hidden="1" outlineLevel="1">
      <c r="A10" s="18" t="s">
        <v>22</v>
      </c>
      <c r="B10" s="2">
        <v>4218652.76</v>
      </c>
      <c r="C10" s="2"/>
      <c r="D10" s="2">
        <v>186281.44</v>
      </c>
      <c r="F10" s="2">
        <v>109303.22</v>
      </c>
      <c r="H10" s="2">
        <v>0</v>
      </c>
      <c r="J10" s="2">
        <v>4514237.42</v>
      </c>
    </row>
    <row r="11" spans="1:251" hidden="1" outlineLevel="1">
      <c r="A11" s="18" t="s">
        <v>19</v>
      </c>
      <c r="B11" s="2">
        <v>28427650.350000001</v>
      </c>
      <c r="C11" s="2"/>
      <c r="D11" s="2">
        <v>0</v>
      </c>
      <c r="F11" s="2">
        <v>0</v>
      </c>
      <c r="H11" s="2">
        <v>0</v>
      </c>
      <c r="J11" s="2">
        <v>28427650.350000001</v>
      </c>
    </row>
    <row r="12" spans="1:251" hidden="1" outlineLevel="1">
      <c r="A12" s="18" t="s">
        <v>23</v>
      </c>
      <c r="B12" s="2">
        <v>3953067.5</v>
      </c>
      <c r="C12" s="2"/>
      <c r="D12" s="2">
        <v>1437157.45</v>
      </c>
      <c r="F12" s="2">
        <v>3334778.77</v>
      </c>
      <c r="H12" s="2">
        <v>-369753.83</v>
      </c>
      <c r="J12" s="2">
        <v>8355249.8900000006</v>
      </c>
    </row>
    <row r="13" spans="1:251" hidden="1" outlineLevel="1">
      <c r="A13" s="18" t="s">
        <v>24</v>
      </c>
      <c r="B13" s="2">
        <v>0</v>
      </c>
      <c r="C13" s="2"/>
      <c r="D13" s="2">
        <v>0</v>
      </c>
      <c r="F13" s="2">
        <v>0</v>
      </c>
      <c r="H13" s="2">
        <v>4244843.32</v>
      </c>
      <c r="J13" s="2">
        <v>4244843.32</v>
      </c>
    </row>
    <row r="14" spans="1:251" hidden="1" outlineLevel="1">
      <c r="A14" s="18" t="s">
        <v>18</v>
      </c>
      <c r="B14" s="2">
        <v>0</v>
      </c>
      <c r="C14" s="2"/>
      <c r="D14" s="2">
        <v>0</v>
      </c>
      <c r="F14" s="2">
        <v>0</v>
      </c>
      <c r="H14" s="2">
        <v>49799.67</v>
      </c>
      <c r="J14" s="2">
        <v>49799.67</v>
      </c>
    </row>
    <row r="15" spans="1:251" collapsed="1"/>
    <row r="16" spans="1:251" ht="11" thickBot="1">
      <c r="A16" s="7" t="s">
        <v>42</v>
      </c>
      <c r="B16" s="12">
        <v>4495758.6499999985</v>
      </c>
      <c r="C16" s="9"/>
      <c r="D16" s="12">
        <v>-1453062.0399999998</v>
      </c>
      <c r="E16" s="8"/>
      <c r="F16" s="12">
        <v>947978.00999999978</v>
      </c>
      <c r="G16" s="8"/>
      <c r="H16" s="12">
        <v>-4505272.9400000004</v>
      </c>
      <c r="I16" s="8"/>
      <c r="J16" s="12">
        <v>-514598.32000000775</v>
      </c>
    </row>
    <row r="17" spans="1:12">
      <c r="A17" s="4" t="s">
        <v>17</v>
      </c>
      <c r="B17" s="2">
        <v>-315564.32999999996</v>
      </c>
      <c r="C17" s="2"/>
      <c r="D17" s="2">
        <v>-159851.4</v>
      </c>
      <c r="F17" s="2">
        <v>-280804.40999999997</v>
      </c>
      <c r="H17" s="2">
        <v>-294827</v>
      </c>
      <c r="J17" s="2">
        <v>-1051047.1399999999</v>
      </c>
    </row>
    <row r="18" spans="1:12">
      <c r="A18" s="15" t="s">
        <v>48</v>
      </c>
      <c r="B18" s="16">
        <f>B16/B4</f>
        <v>0.109398820029408</v>
      </c>
      <c r="D18" s="16">
        <f>D16/D4</f>
        <v>-8.5285180469060187</v>
      </c>
      <c r="E18" s="16"/>
      <c r="F18" s="16">
        <f>F16/F4</f>
        <v>0.21583903908416546</v>
      </c>
      <c r="J18" s="16">
        <f>J16/J4</f>
        <v>-1.1415938028973244E-2</v>
      </c>
      <c r="L18" s="16"/>
    </row>
    <row r="19" spans="1:12" ht="11" thickBot="1">
      <c r="A19" s="7" t="s">
        <v>43</v>
      </c>
      <c r="B19" s="12">
        <v>4811322.9799999986</v>
      </c>
      <c r="C19" s="13"/>
      <c r="D19" s="12">
        <v>-1293210.6399999999</v>
      </c>
      <c r="E19" s="8"/>
      <c r="F19" s="12">
        <v>1228782.4199999997</v>
      </c>
      <c r="G19" s="8"/>
      <c r="H19" s="12">
        <v>-4210445.9400000004</v>
      </c>
      <c r="I19" s="8"/>
      <c r="J19" s="12">
        <v>536448.81999999215</v>
      </c>
    </row>
    <row r="20" spans="1:12">
      <c r="A20" s="15" t="s">
        <v>49</v>
      </c>
      <c r="B20" s="16">
        <f>B19/B4</f>
        <v>0.11707769428244887</v>
      </c>
      <c r="D20" s="16">
        <f>D19/D4</f>
        <v>-7.5902955125652332</v>
      </c>
      <c r="E20" s="16" t="e">
        <f>E19/E4</f>
        <v>#DIV/0!</v>
      </c>
      <c r="F20" s="16">
        <f>F19/F4</f>
        <v>0.27977359598912577</v>
      </c>
      <c r="J20" s="16">
        <f>J19/J4</f>
        <v>1.1900673295699141E-2</v>
      </c>
    </row>
    <row r="22" spans="1:12">
      <c r="A22" s="1" t="s">
        <v>52</v>
      </c>
      <c r="B22" s="17"/>
      <c r="C22" s="17"/>
    </row>
    <row r="23" spans="1:12" ht="31.5">
      <c r="B23" s="5" t="s">
        <v>31</v>
      </c>
      <c r="D23" s="5" t="s">
        <v>32</v>
      </c>
      <c r="F23" s="5" t="s">
        <v>33</v>
      </c>
      <c r="H23" s="5" t="s">
        <v>50</v>
      </c>
      <c r="J23" s="5" t="s">
        <v>36</v>
      </c>
    </row>
    <row r="25" spans="1:12">
      <c r="A25" s="7" t="s">
        <v>37</v>
      </c>
      <c r="B25" s="8">
        <v>49539636.920000002</v>
      </c>
      <c r="C25" s="9"/>
      <c r="D25" s="8">
        <v>6966647.46</v>
      </c>
      <c r="E25" s="8"/>
      <c r="F25" s="8">
        <v>8218305.6499999985</v>
      </c>
      <c r="G25" s="8"/>
      <c r="H25" s="8">
        <v>-3273077.1999999997</v>
      </c>
      <c r="I25" s="8"/>
      <c r="J25" s="8">
        <v>61451512.829999998</v>
      </c>
    </row>
    <row r="26" spans="1:12">
      <c r="A26" s="10" t="s">
        <v>38</v>
      </c>
      <c r="B26" s="2">
        <v>49524689.359999999</v>
      </c>
      <c r="C26" s="11"/>
      <c r="D26" s="2">
        <v>6966647.46</v>
      </c>
      <c r="F26" s="2">
        <v>4645660.959999999</v>
      </c>
      <c r="H26" s="2">
        <v>0</v>
      </c>
      <c r="J26" s="2">
        <v>61136997.780000001</v>
      </c>
    </row>
    <row r="27" spans="1:12">
      <c r="A27" s="10" t="s">
        <v>39</v>
      </c>
      <c r="B27" s="2">
        <v>14947.56</v>
      </c>
      <c r="C27" s="11"/>
      <c r="D27" s="2">
        <v>0</v>
      </c>
      <c r="F27" s="2">
        <v>299567.49</v>
      </c>
      <c r="H27" s="2">
        <v>0</v>
      </c>
      <c r="J27" s="2">
        <v>314515.05</v>
      </c>
    </row>
    <row r="28" spans="1:12">
      <c r="A28" s="10" t="s">
        <v>40</v>
      </c>
      <c r="B28" s="2">
        <v>0</v>
      </c>
      <c r="C28" s="11"/>
      <c r="D28" s="2">
        <v>0</v>
      </c>
      <c r="F28" s="2">
        <v>3273077.1999999997</v>
      </c>
      <c r="H28" s="2">
        <v>-3273077.1999999997</v>
      </c>
      <c r="J28" s="2">
        <v>0</v>
      </c>
    </row>
    <row r="29" spans="1:12" hidden="1" outlineLevel="1">
      <c r="A29" s="7" t="s">
        <v>41</v>
      </c>
      <c r="B29" s="8">
        <v>44370524.090000004</v>
      </c>
      <c r="C29" s="9"/>
      <c r="D29" s="8">
        <v>9708983.4400000013</v>
      </c>
      <c r="E29" s="8"/>
      <c r="F29" s="8">
        <v>4641438.1399999997</v>
      </c>
      <c r="G29" s="8"/>
      <c r="H29" s="8">
        <v>2831796.0283361925</v>
      </c>
      <c r="I29" s="8"/>
      <c r="J29" s="8">
        <v>61552741.698336191</v>
      </c>
    </row>
    <row r="30" spans="1:12" hidden="1" outlineLevel="1">
      <c r="A30" s="18" t="s">
        <v>22</v>
      </c>
      <c r="B30" s="2">
        <v>891837.8899999999</v>
      </c>
      <c r="C30" s="2"/>
      <c r="D30" s="2">
        <v>1122024.5500000024</v>
      </c>
      <c r="F30" s="2">
        <v>227879.22</v>
      </c>
      <c r="H30" s="2">
        <v>0</v>
      </c>
      <c r="J30" s="2">
        <v>2241741.6600000025</v>
      </c>
    </row>
    <row r="31" spans="1:12" hidden="1" outlineLevel="1">
      <c r="A31" s="18" t="s">
        <v>19</v>
      </c>
      <c r="B31" s="2">
        <v>38641794.340000004</v>
      </c>
      <c r="C31" s="2"/>
      <c r="D31" s="2">
        <v>1609105.18</v>
      </c>
      <c r="F31" s="2">
        <v>0</v>
      </c>
      <c r="H31" s="2">
        <v>0</v>
      </c>
      <c r="J31" s="2">
        <v>40250899.520000003</v>
      </c>
    </row>
    <row r="32" spans="1:12" hidden="1" outlineLevel="1">
      <c r="A32" s="18" t="s">
        <v>23</v>
      </c>
      <c r="B32" s="2">
        <v>4836891.8600000003</v>
      </c>
      <c r="C32" s="2"/>
      <c r="D32" s="2">
        <v>6977853.71</v>
      </c>
      <c r="F32" s="2">
        <v>4413558.92</v>
      </c>
      <c r="H32" s="2">
        <v>-1838866.92</v>
      </c>
      <c r="J32" s="2">
        <v>14389437.57</v>
      </c>
    </row>
    <row r="33" spans="1:10" hidden="1" outlineLevel="1">
      <c r="A33" s="18" t="s">
        <v>24</v>
      </c>
      <c r="B33" s="2">
        <v>0</v>
      </c>
      <c r="C33" s="2"/>
      <c r="D33" s="2">
        <v>0</v>
      </c>
      <c r="F33" s="2">
        <v>0</v>
      </c>
      <c r="H33" s="2">
        <v>4463400.2083361922</v>
      </c>
      <c r="J33" s="2">
        <v>4463400.2083361922</v>
      </c>
    </row>
    <row r="34" spans="1:10" hidden="1" outlineLevel="1">
      <c r="A34" s="18" t="s">
        <v>18</v>
      </c>
      <c r="B34" s="2">
        <v>0</v>
      </c>
      <c r="C34" s="2"/>
      <c r="D34" s="2">
        <v>0</v>
      </c>
      <c r="F34" s="2">
        <v>0</v>
      </c>
      <c r="H34" s="2">
        <v>207262.74</v>
      </c>
      <c r="J34" s="2">
        <v>207262.74</v>
      </c>
    </row>
    <row r="35" spans="1:10" collapsed="1"/>
    <row r="36" spans="1:10" ht="11" thickBot="1">
      <c r="A36" s="7" t="s">
        <v>42</v>
      </c>
      <c r="B36" s="12">
        <v>5169112.8299999982</v>
      </c>
      <c r="C36" s="9"/>
      <c r="D36" s="12">
        <v>-2742335.9800000014</v>
      </c>
      <c r="E36" s="8"/>
      <c r="F36" s="12">
        <v>3576867.5099999988</v>
      </c>
      <c r="G36" s="8"/>
      <c r="H36" s="12">
        <v>-6104873.2283361927</v>
      </c>
      <c r="I36" s="8"/>
      <c r="J36" s="12">
        <v>-101228.86833619326</v>
      </c>
    </row>
    <row r="37" spans="1:10">
      <c r="A37" s="4" t="s">
        <v>17</v>
      </c>
      <c r="B37" s="2">
        <v>-437885.2</v>
      </c>
      <c r="C37" s="2"/>
      <c r="D37" s="2">
        <v>-1877675.04</v>
      </c>
      <c r="F37" s="2">
        <v>-266179.49</v>
      </c>
      <c r="H37" s="2">
        <v>-376048.07413241221</v>
      </c>
      <c r="J37" s="2">
        <v>-2957787.8041324127</v>
      </c>
    </row>
    <row r="38" spans="1:10">
      <c r="A38" s="15" t="s">
        <v>48</v>
      </c>
      <c r="B38" s="16">
        <f>B36/B25</f>
        <v>0.10434296961738811</v>
      </c>
      <c r="D38" s="16">
        <f>D36/D25</f>
        <v>-0.39363782877567932</v>
      </c>
      <c r="E38" s="16"/>
      <c r="F38" s="16">
        <f>F36/F25</f>
        <v>0.43523174512254842</v>
      </c>
      <c r="J38" s="16">
        <f>J36/J25</f>
        <v>-1.6472966030345532E-3</v>
      </c>
    </row>
    <row r="39" spans="1:10" ht="11" thickBot="1">
      <c r="A39" s="7" t="s">
        <v>43</v>
      </c>
      <c r="B39" s="12">
        <v>5606998.0299999984</v>
      </c>
      <c r="C39" s="13"/>
      <c r="D39" s="12">
        <v>-864660.94000000134</v>
      </c>
      <c r="E39" s="8"/>
      <c r="F39" s="12">
        <v>3843046.9999999991</v>
      </c>
      <c r="G39" s="8"/>
      <c r="H39" s="12">
        <v>-5728825.15420378</v>
      </c>
      <c r="I39" s="8"/>
      <c r="J39" s="12">
        <v>2856558.9357962194</v>
      </c>
    </row>
    <row r="40" spans="1:10">
      <c r="A40" s="15" t="s">
        <v>49</v>
      </c>
      <c r="B40" s="16">
        <f>B39/B25</f>
        <v>0.11318205741100934</v>
      </c>
      <c r="D40" s="16">
        <f>D39/D25</f>
        <v>-0.12411435270186635</v>
      </c>
      <c r="E40" s="16" t="e">
        <f>E39/E25</f>
        <v>#DIV/0!</v>
      </c>
      <c r="F40" s="16">
        <f>F39/F25</f>
        <v>0.46762035432449506</v>
      </c>
      <c r="J40" s="16">
        <f>J39/J25</f>
        <v>4.6484761794207234E-2</v>
      </c>
    </row>
    <row r="42" spans="1:10">
      <c r="A42" s="1" t="s">
        <v>53</v>
      </c>
      <c r="B42" s="17"/>
      <c r="C42" s="17"/>
    </row>
    <row r="43" spans="1:10" ht="31.5">
      <c r="B43" s="5" t="s">
        <v>31</v>
      </c>
      <c r="D43" s="5" t="s">
        <v>32</v>
      </c>
      <c r="F43" s="5" t="s">
        <v>33</v>
      </c>
      <c r="H43" s="5" t="s">
        <v>50</v>
      </c>
      <c r="J43" s="5" t="s">
        <v>36</v>
      </c>
    </row>
    <row r="45" spans="1:10">
      <c r="A45" s="7" t="s">
        <v>37</v>
      </c>
      <c r="B45" s="8">
        <v>53359520.377709188</v>
      </c>
      <c r="C45" s="9"/>
      <c r="D45" s="8">
        <v>18219395.219999999</v>
      </c>
      <c r="E45" s="8"/>
      <c r="F45" s="8">
        <v>11044074.702290826</v>
      </c>
      <c r="G45" s="8"/>
      <c r="H45" s="8">
        <v>-5247162.6722908253</v>
      </c>
      <c r="I45" s="8"/>
      <c r="J45" s="8">
        <v>77375827.62770918</v>
      </c>
    </row>
    <row r="46" spans="1:10">
      <c r="A46" s="10" t="s">
        <v>38</v>
      </c>
      <c r="B46" s="2">
        <v>53359520.377709188</v>
      </c>
      <c r="C46" s="11"/>
      <c r="D46" s="2">
        <v>18219395.219999999</v>
      </c>
      <c r="F46" s="2">
        <v>5667173.4000000004</v>
      </c>
      <c r="H46" s="2">
        <v>0</v>
      </c>
      <c r="J46" s="2">
        <v>77246088.997709185</v>
      </c>
    </row>
    <row r="47" spans="1:10">
      <c r="A47" s="10" t="s">
        <v>39</v>
      </c>
      <c r="B47" s="2">
        <v>0</v>
      </c>
      <c r="C47" s="11"/>
      <c r="D47" s="2">
        <v>0</v>
      </c>
      <c r="F47" s="2">
        <v>129738.63</v>
      </c>
      <c r="H47" s="2">
        <v>0</v>
      </c>
      <c r="J47" s="2">
        <v>129738.63</v>
      </c>
    </row>
    <row r="48" spans="1:10">
      <c r="A48" s="10" t="s">
        <v>40</v>
      </c>
      <c r="B48" s="2">
        <v>0</v>
      </c>
      <c r="C48" s="11"/>
      <c r="D48" s="2">
        <v>0</v>
      </c>
      <c r="F48" s="2">
        <v>5247162.6722908253</v>
      </c>
      <c r="H48" s="2">
        <v>-5247162.6722908253</v>
      </c>
      <c r="J48" s="2">
        <v>0</v>
      </c>
    </row>
    <row r="49" spans="1:10">
      <c r="B49" s="2"/>
      <c r="F49" s="2">
        <v>0</v>
      </c>
    </row>
    <row r="50" spans="1:10" hidden="1" outlineLevel="1">
      <c r="A50" s="7" t="s">
        <v>41</v>
      </c>
      <c r="B50" s="8">
        <v>46054032.030000001</v>
      </c>
      <c r="C50" s="9"/>
      <c r="D50" s="8">
        <v>13316619.580000002</v>
      </c>
      <c r="E50" s="8"/>
      <c r="F50" s="8">
        <v>5650754.8899999997</v>
      </c>
      <c r="G50" s="8"/>
      <c r="H50" s="8">
        <v>2006866.2379722698</v>
      </c>
      <c r="I50" s="8"/>
      <c r="J50" s="8">
        <v>67028272.737972267</v>
      </c>
    </row>
    <row r="51" spans="1:10" hidden="1" outlineLevel="1">
      <c r="A51" s="18" t="s">
        <v>22</v>
      </c>
      <c r="B51" s="2">
        <v>6334826.0999999996</v>
      </c>
      <c r="C51" s="2"/>
      <c r="D51" s="2">
        <v>3064514.4000000018</v>
      </c>
      <c r="F51" s="2">
        <v>1237195.97</v>
      </c>
      <c r="H51" s="2">
        <v>-1766307.01</v>
      </c>
      <c r="J51" s="2">
        <v>8870229.4600000028</v>
      </c>
    </row>
    <row r="52" spans="1:10" hidden="1" outlineLevel="1">
      <c r="A52" s="18" t="s">
        <v>19</v>
      </c>
      <c r="B52" s="2">
        <v>34727324.960000001</v>
      </c>
      <c r="C52" s="2"/>
      <c r="D52" s="2">
        <v>1450555.33</v>
      </c>
      <c r="F52" s="2">
        <v>0</v>
      </c>
      <c r="H52" s="2">
        <v>0</v>
      </c>
      <c r="J52" s="2">
        <v>36177880.289999999</v>
      </c>
    </row>
    <row r="53" spans="1:10" hidden="1" outlineLevel="1">
      <c r="A53" s="18" t="s">
        <v>23</v>
      </c>
      <c r="B53" s="2">
        <v>4991880.97</v>
      </c>
      <c r="C53" s="2"/>
      <c r="D53" s="2">
        <v>8801549.8499999996</v>
      </c>
      <c r="F53" s="2">
        <v>4413558.92</v>
      </c>
      <c r="H53" s="2">
        <v>-2310773.08</v>
      </c>
      <c r="J53" s="2">
        <v>15896216.660000002</v>
      </c>
    </row>
    <row r="54" spans="1:10" hidden="1" outlineLevel="1">
      <c r="A54" s="18" t="s">
        <v>24</v>
      </c>
      <c r="B54" s="2">
        <v>0</v>
      </c>
      <c r="C54" s="2"/>
      <c r="D54" s="2">
        <v>0</v>
      </c>
      <c r="F54" s="2">
        <v>0</v>
      </c>
      <c r="H54" s="2">
        <v>6251593.9179722695</v>
      </c>
      <c r="J54" s="2">
        <v>6251593.9179722695</v>
      </c>
    </row>
    <row r="55" spans="1:10" hidden="1" outlineLevel="1">
      <c r="A55" s="18" t="s">
        <v>18</v>
      </c>
      <c r="B55" s="2">
        <v>0</v>
      </c>
      <c r="C55" s="2"/>
      <c r="D55" s="2">
        <v>0</v>
      </c>
      <c r="F55" s="2">
        <v>0</v>
      </c>
      <c r="H55" s="2">
        <v>-167647.58999999997</v>
      </c>
      <c r="J55" s="2">
        <v>-167647.58999999997</v>
      </c>
    </row>
    <row r="56" spans="1:10" hidden="1" outlineLevel="1"/>
    <row r="57" spans="1:10" ht="11" collapsed="1" thickBot="1">
      <c r="A57" s="7" t="s">
        <v>42</v>
      </c>
      <c r="B57" s="12">
        <v>7305488.3477091864</v>
      </c>
      <c r="C57" s="9"/>
      <c r="D57" s="12">
        <v>4902775.6399999969</v>
      </c>
      <c r="E57" s="8"/>
      <c r="F57" s="12">
        <v>5393319.8122908259</v>
      </c>
      <c r="G57" s="8"/>
      <c r="H57" s="12">
        <v>-7254028.9102630951</v>
      </c>
      <c r="I57" s="8"/>
      <c r="J57" s="12">
        <v>10347554.889736913</v>
      </c>
    </row>
    <row r="58" spans="1:10">
      <c r="A58" s="4" t="s">
        <v>17</v>
      </c>
      <c r="B58" s="2">
        <v>-510884.5</v>
      </c>
      <c r="C58" s="2">
        <v>0</v>
      </c>
      <c r="D58" s="2">
        <v>-1920780.5</v>
      </c>
      <c r="E58" s="2">
        <v>0</v>
      </c>
      <c r="F58" s="2">
        <v>-248408.67</v>
      </c>
      <c r="G58" s="2">
        <v>0</v>
      </c>
      <c r="H58" s="2">
        <v>-364164.82413241221</v>
      </c>
      <c r="I58" s="2">
        <v>0</v>
      </c>
      <c r="J58" s="2">
        <v>-3044238.4941324121</v>
      </c>
    </row>
    <row r="59" spans="1:10">
      <c r="A59" s="15" t="s">
        <v>48</v>
      </c>
      <c r="B59" s="16">
        <f>B57/B45</f>
        <v>0.13691068240487853</v>
      </c>
      <c r="D59" s="16">
        <f>D57/D45</f>
        <v>0.26909650846247996</v>
      </c>
      <c r="E59" s="16"/>
      <c r="F59" s="16">
        <f>F57/F45</f>
        <v>0.48834510429127326</v>
      </c>
      <c r="J59" s="16">
        <f>J57/J45</f>
        <v>0.13373110449330217</v>
      </c>
    </row>
    <row r="60" spans="1:10" ht="11" thickBot="1">
      <c r="A60" s="7" t="s">
        <v>43</v>
      </c>
      <c r="B60" s="12">
        <v>7816372.8477091864</v>
      </c>
      <c r="C60" s="13"/>
      <c r="D60" s="12">
        <v>6823556.1399999969</v>
      </c>
      <c r="E60" s="8"/>
      <c r="F60" s="12">
        <v>5641728.4822908258</v>
      </c>
      <c r="G60" s="8"/>
      <c r="H60" s="12">
        <v>-6889864.0861306824</v>
      </c>
      <c r="I60" s="8"/>
      <c r="J60" s="12">
        <v>13391793.383869326</v>
      </c>
    </row>
    <row r="61" spans="1:10">
      <c r="A61" s="15" t="s">
        <v>49</v>
      </c>
      <c r="B61" s="16">
        <f>B60/B45</f>
        <v>0.14648506568987935</v>
      </c>
      <c r="D61" s="16">
        <f>D60/D45</f>
        <v>0.37452155011762223</v>
      </c>
      <c r="E61" s="16" t="e">
        <f>E60/E46</f>
        <v>#DIV/0!</v>
      </c>
      <c r="F61" s="16">
        <f>F60/F45</f>
        <v>0.51083758797109424</v>
      </c>
      <c r="J61" s="16">
        <f>J60/J45</f>
        <v>0.17307463835221801</v>
      </c>
    </row>
  </sheetData>
  <pageMargins left="0.75" right="0.75" top="1" bottom="1" header="0.5" footer="0.5"/>
  <pageSetup paperSize="9" scale="88" orientation="portrait" r:id="rId1"/>
  <headerFooter alignWithMargins="0">
    <oddHeader>&amp;C Nota nr &amp;A str &amp;P / &amp;N</oddHeader>
    <oddFooter>&amp;C Nota nr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2748-821F-4931-90A1-0162F9D2F242}">
  <sheetPr>
    <tabColor rgb="FF003366"/>
    <pageSetUpPr fitToPage="1"/>
  </sheetPr>
  <dimension ref="A2:Z69"/>
  <sheetViews>
    <sheetView showGridLines="0" workbookViewId="0">
      <pane xSplit="3" ySplit="6" topLeftCell="D35" activePane="bottomRight" state="frozen"/>
      <selection activeCell="B5" sqref="B5"/>
      <selection pane="topRight" activeCell="B5" sqref="B5"/>
      <selection pane="bottomLeft" activeCell="B5" sqref="B5"/>
      <selection pane="bottomRight" activeCell="C34" sqref="C34"/>
    </sheetView>
  </sheetViews>
  <sheetFormatPr defaultColWidth="9.1796875" defaultRowHeight="10.5"/>
  <cols>
    <col min="1" max="1" width="2.81640625" style="73" customWidth="1"/>
    <col min="2" max="2" width="46.453125" style="73" customWidth="1"/>
    <col min="3" max="3" width="43.1796875" style="73" customWidth="1"/>
    <col min="4" max="5" width="13.453125" style="73" customWidth="1"/>
    <col min="6" max="6" width="11" style="73" customWidth="1"/>
    <col min="7" max="7" width="11.453125" style="73" customWidth="1"/>
    <col min="8" max="8" width="13.453125" style="73" customWidth="1"/>
    <col min="9" max="10" width="11" style="73" customWidth="1"/>
    <col min="11" max="11" width="11.453125" style="73" customWidth="1"/>
    <col min="12" max="12" width="13.453125" style="73" customWidth="1"/>
    <col min="13" max="14" width="11" style="73" customWidth="1"/>
    <col min="15" max="15" width="11.453125" style="73" customWidth="1"/>
    <col min="16" max="18" width="11" style="73" customWidth="1"/>
    <col min="19" max="19" width="11.453125" style="73" customWidth="1"/>
    <col min="20" max="20" width="11" style="73" customWidth="1"/>
    <col min="21" max="21" width="11.1796875" style="73" customWidth="1"/>
    <col min="22" max="27" width="11.453125" style="73" customWidth="1"/>
    <col min="28" max="16384" width="9.1796875" style="73"/>
  </cols>
  <sheetData>
    <row r="2" spans="1:26">
      <c r="B2" s="90" t="s">
        <v>167</v>
      </c>
    </row>
    <row r="3" spans="1:26">
      <c r="B3" s="73" t="s">
        <v>245</v>
      </c>
    </row>
    <row r="5" spans="1:26" s="74" customFormat="1" ht="20.5" customHeight="1">
      <c r="A5" s="133"/>
      <c r="B5" s="134"/>
      <c r="C5" s="135"/>
      <c r="D5" s="137">
        <v>46112</v>
      </c>
      <c r="E5" s="136">
        <v>46022</v>
      </c>
      <c r="F5" s="137">
        <v>45930</v>
      </c>
      <c r="G5" s="137">
        <v>45838</v>
      </c>
      <c r="H5" s="137">
        <v>45747</v>
      </c>
      <c r="I5" s="136">
        <v>45657</v>
      </c>
      <c r="J5" s="137">
        <v>45565</v>
      </c>
      <c r="K5" s="137">
        <v>45473</v>
      </c>
      <c r="L5" s="137">
        <v>45382</v>
      </c>
      <c r="M5" s="136">
        <v>45291</v>
      </c>
      <c r="N5" s="137">
        <v>45199</v>
      </c>
      <c r="O5" s="137">
        <v>45107</v>
      </c>
      <c r="P5" s="137">
        <v>45016</v>
      </c>
      <c r="Q5" s="136">
        <v>44926</v>
      </c>
      <c r="R5" s="137">
        <v>44834</v>
      </c>
      <c r="S5" s="137">
        <v>44742</v>
      </c>
      <c r="T5" s="137">
        <v>44651</v>
      </c>
      <c r="U5" s="136">
        <v>44561</v>
      </c>
      <c r="V5" s="137">
        <v>44469</v>
      </c>
      <c r="W5" s="137">
        <v>44377</v>
      </c>
      <c r="X5" s="137">
        <v>44286</v>
      </c>
    </row>
    <row r="6" spans="1:26" ht="5.5" customHeight="1"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7"/>
      <c r="Y6" s="78"/>
      <c r="Z6" s="78"/>
    </row>
    <row r="7" spans="1:26">
      <c r="B7" s="75" t="s">
        <v>277</v>
      </c>
      <c r="C7" s="76" t="s">
        <v>246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8"/>
      <c r="Y7" s="78"/>
      <c r="Z7" s="78"/>
    </row>
    <row r="8" spans="1:26" ht="5.5" customHeight="1">
      <c r="B8" s="75"/>
      <c r="C8" s="76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8"/>
      <c r="Y8" s="78"/>
      <c r="Z8" s="78"/>
    </row>
    <row r="9" spans="1:26">
      <c r="B9" s="79" t="s">
        <v>247</v>
      </c>
      <c r="C9" s="80" t="s">
        <v>244</v>
      </c>
      <c r="D9" s="100">
        <f>'[1]Cash Flow'!$AJ$10</f>
        <v>-5254375.0199120007</v>
      </c>
      <c r="E9" s="100">
        <v>3392832.2749039996</v>
      </c>
      <c r="F9" s="100">
        <v>1631052.2952500083</v>
      </c>
      <c r="G9" s="100">
        <v>-2567237.5103250118</v>
      </c>
      <c r="H9" s="100">
        <v>-5808195.6843999922</v>
      </c>
      <c r="I9" s="100">
        <v>-15658221.736379985</v>
      </c>
      <c r="J9" s="100">
        <v>-11204200.382761996</v>
      </c>
      <c r="K9" s="100">
        <v>-7831784.4146199971</v>
      </c>
      <c r="L9" s="100">
        <v>-5038516.116313003</v>
      </c>
      <c r="M9" s="100">
        <v>2274322.3125599828</v>
      </c>
      <c r="N9" s="100">
        <v>-3125705.7231799741</v>
      </c>
      <c r="O9" s="100">
        <v>1289296.0120810107</v>
      </c>
      <c r="P9" s="100">
        <v>-134276.54492000601</v>
      </c>
      <c r="Q9" s="100">
        <v>1420307.4235019914</v>
      </c>
      <c r="R9" s="100">
        <v>-3603496.3833360118</v>
      </c>
      <c r="S9" s="100">
        <v>-1668385.0605519745</v>
      </c>
      <c r="T9" s="100">
        <v>-3132644.7723749997</v>
      </c>
      <c r="U9" s="100">
        <v>2881728.9228119752</v>
      </c>
      <c r="V9" s="100">
        <v>3211809.2135859961</v>
      </c>
      <c r="W9" s="100">
        <v>-1400352.7764879989</v>
      </c>
      <c r="X9" s="100">
        <v>-5065752.3065360002</v>
      </c>
      <c r="Y9" s="81"/>
      <c r="Z9" s="81"/>
    </row>
    <row r="10" spans="1:26">
      <c r="B10" s="79" t="s">
        <v>17</v>
      </c>
      <c r="C10" s="80" t="s">
        <v>248</v>
      </c>
      <c r="D10" s="100">
        <f>'[1]Cash Flow'!$AJ$48</f>
        <v>28770668.879999999</v>
      </c>
      <c r="E10" s="100">
        <v>38464875.060000002</v>
      </c>
      <c r="F10" s="100">
        <v>28770668.879999999</v>
      </c>
      <c r="G10" s="100">
        <v>19104199.559999999</v>
      </c>
      <c r="H10" s="100">
        <v>9507964.8599999975</v>
      </c>
      <c r="I10" s="100">
        <v>36283395.500000007</v>
      </c>
      <c r="J10" s="100">
        <v>26871003.940000005</v>
      </c>
      <c r="K10" s="100">
        <v>17884655.949999999</v>
      </c>
      <c r="L10" s="100">
        <v>8949238.0800000001</v>
      </c>
      <c r="M10" s="100">
        <v>34984320.960000008</v>
      </c>
      <c r="N10" s="100">
        <v>26015811.340000004</v>
      </c>
      <c r="O10" s="100">
        <v>20130276.359999996</v>
      </c>
      <c r="P10" s="100">
        <v>8593334.9000000004</v>
      </c>
      <c r="Q10" s="100">
        <v>34402954.93</v>
      </c>
      <c r="R10" s="100">
        <v>25870778.57</v>
      </c>
      <c r="S10" s="100">
        <v>17372707.68</v>
      </c>
      <c r="T10" s="100">
        <v>8127416.6200000001</v>
      </c>
      <c r="U10" s="100">
        <v>31637861.449999999</v>
      </c>
      <c r="V10" s="100">
        <v>23651103.09</v>
      </c>
      <c r="W10" s="100">
        <v>15700084.459999999</v>
      </c>
      <c r="X10" s="100">
        <v>7761430.0099999988</v>
      </c>
      <c r="Y10" s="81"/>
      <c r="Z10" s="81"/>
    </row>
    <row r="11" spans="1:26">
      <c r="B11" s="79" t="s">
        <v>249</v>
      </c>
      <c r="C11" s="80" t="s">
        <v>250</v>
      </c>
      <c r="D11" s="100">
        <f>'[1]Cash Flow'!$AJ$49</f>
        <v>1043147.2899119995</v>
      </c>
      <c r="E11" s="100">
        <v>969531.90509599925</v>
      </c>
      <c r="F11" s="100">
        <v>954129.29475000023</v>
      </c>
      <c r="G11" s="100">
        <v>810409.2703250004</v>
      </c>
      <c r="H11" s="100">
        <v>601813.86440000008</v>
      </c>
      <c r="I11" s="100">
        <v>-1688884.8636199997</v>
      </c>
      <c r="J11" s="100">
        <v>-1968520.5972379998</v>
      </c>
      <c r="K11" s="100">
        <v>-1715486.3753799999</v>
      </c>
      <c r="L11" s="100">
        <v>-1656923.4436870001</v>
      </c>
      <c r="M11" s="100">
        <v>-2485605.3825599998</v>
      </c>
      <c r="N11" s="100">
        <v>-314590.9868199997</v>
      </c>
      <c r="O11" s="100">
        <v>-946142.14208099991</v>
      </c>
      <c r="P11" s="100">
        <v>-448489.29508000019</v>
      </c>
      <c r="Q11" s="100">
        <v>3020262.7564980001</v>
      </c>
      <c r="R11" s="100">
        <v>5252653.9033359997</v>
      </c>
      <c r="S11" s="100">
        <v>1259703.3805520004</v>
      </c>
      <c r="T11" s="100">
        <v>-1408485.387625</v>
      </c>
      <c r="U11" s="100">
        <v>-198673.68281200022</v>
      </c>
      <c r="V11" s="100">
        <v>-686606.22358599957</v>
      </c>
      <c r="W11" s="100">
        <v>-1878264.1235120001</v>
      </c>
      <c r="X11" s="100">
        <v>-3574089.3534639999</v>
      </c>
      <c r="Y11" s="81"/>
      <c r="Z11" s="81"/>
    </row>
    <row r="12" spans="1:26">
      <c r="B12" s="79" t="s">
        <v>251</v>
      </c>
      <c r="C12" s="80" t="s">
        <v>256</v>
      </c>
      <c r="D12" s="100">
        <f>'[1]Cash Flow'!$AJ$60</f>
        <v>3819715.3400000003</v>
      </c>
      <c r="E12" s="100">
        <v>4348923.47</v>
      </c>
      <c r="F12" s="100">
        <v>3853658.54</v>
      </c>
      <c r="G12" s="100">
        <v>1377715.2899999984</v>
      </c>
      <c r="H12" s="100">
        <v>-809411.8600000015</v>
      </c>
      <c r="I12" s="100">
        <v>4008992.2699999991</v>
      </c>
      <c r="J12" s="100">
        <v>5081275.25</v>
      </c>
      <c r="K12" s="100">
        <v>3521817.4999999995</v>
      </c>
      <c r="L12" s="100">
        <v>1585337.7899999998</v>
      </c>
      <c r="M12" s="100">
        <v>9797374.9300000016</v>
      </c>
      <c r="N12" s="100">
        <v>6083370.8399999989</v>
      </c>
      <c r="O12" s="100">
        <v>4033659.37</v>
      </c>
      <c r="P12" s="100">
        <v>1991133.7499999995</v>
      </c>
      <c r="Q12" s="100">
        <v>7270140.2399999993</v>
      </c>
      <c r="R12" s="100">
        <v>5013397.3899999997</v>
      </c>
      <c r="S12" s="100">
        <v>2975586.1400000006</v>
      </c>
      <c r="T12" s="100">
        <v>1322362.2999999998</v>
      </c>
      <c r="U12" s="100">
        <v>4784604.0699999994</v>
      </c>
      <c r="V12" s="100">
        <v>2976511.5599999996</v>
      </c>
      <c r="W12" s="100">
        <v>1857221.9100000001</v>
      </c>
      <c r="X12" s="100">
        <v>870322.82999999984</v>
      </c>
      <c r="Y12" s="81"/>
      <c r="Z12" s="81"/>
    </row>
    <row r="13" spans="1:26">
      <c r="B13" s="79" t="s">
        <v>252</v>
      </c>
      <c r="C13" s="80" t="s">
        <v>257</v>
      </c>
      <c r="D13" s="100">
        <f>'[1]Cash Flow'!$AJ$66</f>
        <v>143149.69999999998</v>
      </c>
      <c r="E13" s="100">
        <v>162265.69999999998</v>
      </c>
      <c r="F13" s="100">
        <v>143149.69999999998</v>
      </c>
      <c r="G13" s="100">
        <v>122920.25999999998</v>
      </c>
      <c r="H13" s="100">
        <v>-56910.570000000007</v>
      </c>
      <c r="I13" s="100">
        <v>32431.630000000005</v>
      </c>
      <c r="J13" s="100">
        <v>32431.630000000005</v>
      </c>
      <c r="K13" s="100">
        <v>23604.429999999993</v>
      </c>
      <c r="L13" s="100">
        <v>0</v>
      </c>
      <c r="M13" s="100">
        <v>-3098527.7499999995</v>
      </c>
      <c r="N13" s="100">
        <v>-3108157.7499999995</v>
      </c>
      <c r="O13" s="100">
        <v>-2948001.21</v>
      </c>
      <c r="P13" s="100">
        <v>-9329.9200000000419</v>
      </c>
      <c r="Q13" s="100">
        <v>1069027.44</v>
      </c>
      <c r="R13" s="100">
        <v>1876316.2399999998</v>
      </c>
      <c r="S13" s="100">
        <v>310859.80000000005</v>
      </c>
      <c r="T13" s="100">
        <v>2322.179999999993</v>
      </c>
      <c r="U13" s="100">
        <v>-2585739.65</v>
      </c>
      <c r="V13" s="100">
        <v>-2584989.65</v>
      </c>
      <c r="W13" s="100">
        <v>-2580284.8400000008</v>
      </c>
      <c r="X13" s="100">
        <v>-176.89999999999418</v>
      </c>
      <c r="Y13" s="81"/>
      <c r="Z13" s="81"/>
    </row>
    <row r="14" spans="1:26">
      <c r="B14" s="79" t="s">
        <v>253</v>
      </c>
      <c r="C14" s="80" t="s">
        <v>258</v>
      </c>
      <c r="D14" s="100">
        <f>'[1]Cash Flow'!$AJ$82</f>
        <v>367302</v>
      </c>
      <c r="E14" s="100">
        <v>520200</v>
      </c>
      <c r="F14" s="100">
        <v>367302</v>
      </c>
      <c r="G14" s="100">
        <v>256735</v>
      </c>
      <c r="H14" s="100">
        <v>33686</v>
      </c>
      <c r="I14" s="100">
        <v>248663</v>
      </c>
      <c r="J14" s="100">
        <v>335824</v>
      </c>
      <c r="K14" s="100">
        <v>193568</v>
      </c>
      <c r="L14" s="100">
        <v>-101624</v>
      </c>
      <c r="M14" s="100">
        <v>16264.710000000001</v>
      </c>
      <c r="N14" s="100">
        <v>294555</v>
      </c>
      <c r="O14" s="100">
        <v>187956</v>
      </c>
      <c r="P14" s="100">
        <v>53700</v>
      </c>
      <c r="Q14" s="100">
        <v>292444</v>
      </c>
      <c r="R14" s="100">
        <v>210937</v>
      </c>
      <c r="S14" s="100">
        <v>131761</v>
      </c>
      <c r="T14" s="100">
        <v>40654</v>
      </c>
      <c r="U14" s="100">
        <v>363791</v>
      </c>
      <c r="V14" s="100">
        <v>266086</v>
      </c>
      <c r="W14" s="100">
        <v>155936</v>
      </c>
      <c r="X14" s="100">
        <v>172713</v>
      </c>
      <c r="Y14" s="81"/>
      <c r="Z14" s="81"/>
    </row>
    <row r="15" spans="1:26">
      <c r="B15" s="79" t="s">
        <v>254</v>
      </c>
      <c r="C15" s="196" t="s">
        <v>259</v>
      </c>
      <c r="D15" s="100">
        <f>'[1]Cash Flow'!$AJ$83</f>
        <v>-147675</v>
      </c>
      <c r="E15" s="100">
        <v>-201789</v>
      </c>
      <c r="F15" s="100">
        <v>-147675</v>
      </c>
      <c r="G15" s="100">
        <v>-93561</v>
      </c>
      <c r="H15" s="100">
        <v>-82160</v>
      </c>
      <c r="I15" s="100">
        <v>-173622</v>
      </c>
      <c r="J15" s="100">
        <v>-98516</v>
      </c>
      <c r="K15" s="100">
        <v>-155465</v>
      </c>
      <c r="L15" s="100">
        <v>42797</v>
      </c>
      <c r="M15" s="100">
        <v>-209473</v>
      </c>
      <c r="N15" s="100">
        <v>-298260</v>
      </c>
      <c r="O15" s="100">
        <v>-217637</v>
      </c>
      <c r="P15" s="100">
        <v>-74274</v>
      </c>
      <c r="Q15" s="100">
        <v>-1469800</v>
      </c>
      <c r="R15" s="100">
        <v>-219660</v>
      </c>
      <c r="S15" s="100">
        <v>-165106</v>
      </c>
      <c r="T15" s="100">
        <v>-113950</v>
      </c>
      <c r="U15" s="100">
        <v>-635547</v>
      </c>
      <c r="V15" s="100">
        <v>-719163</v>
      </c>
      <c r="W15" s="100">
        <v>-449041.43</v>
      </c>
      <c r="X15" s="100">
        <v>-203696</v>
      </c>
      <c r="Y15" s="81"/>
      <c r="Z15" s="81"/>
    </row>
    <row r="16" spans="1:26">
      <c r="B16" s="79" t="s">
        <v>255</v>
      </c>
      <c r="C16" s="196" t="s">
        <v>260</v>
      </c>
      <c r="D16" s="100">
        <f>'[1]Cash Flow'!$AJ$84</f>
        <v>-352398.23</v>
      </c>
      <c r="E16" s="100">
        <v>-352398.22999999952</v>
      </c>
      <c r="F16" s="100">
        <v>-352398.23</v>
      </c>
      <c r="G16" s="100">
        <v>-352398.23</v>
      </c>
      <c r="H16" s="100">
        <v>0.61</v>
      </c>
      <c r="I16" s="100">
        <v>-4192976.8000000003</v>
      </c>
      <c r="J16" s="100">
        <v>-408931.57</v>
      </c>
      <c r="K16" s="100">
        <v>-408931.57</v>
      </c>
      <c r="L16" s="100">
        <v>0.61</v>
      </c>
      <c r="M16" s="100">
        <v>271730.61</v>
      </c>
      <c r="N16" s="100">
        <v>0.61</v>
      </c>
      <c r="O16" s="100">
        <v>0.61</v>
      </c>
      <c r="P16" s="100">
        <v>0.61</v>
      </c>
      <c r="Q16" s="100">
        <v>0.61</v>
      </c>
      <c r="R16" s="100">
        <v>0.60999999986961484</v>
      </c>
      <c r="S16" s="100">
        <v>0.61</v>
      </c>
      <c r="T16" s="100">
        <v>0.61</v>
      </c>
      <c r="U16" s="100">
        <v>0.61</v>
      </c>
      <c r="V16" s="100">
        <v>0.61</v>
      </c>
      <c r="W16" s="100">
        <v>0.61</v>
      </c>
      <c r="X16" s="100">
        <v>0.61</v>
      </c>
      <c r="Y16" s="81"/>
      <c r="Z16" s="81"/>
    </row>
    <row r="17" spans="2:26" ht="5.5" customHeight="1">
      <c r="B17" s="75"/>
      <c r="C17" s="1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8"/>
      <c r="X17" s="98"/>
      <c r="Y17" s="78"/>
      <c r="Z17" s="78"/>
    </row>
    <row r="18" spans="2:26" s="111" customFormat="1" ht="21">
      <c r="B18" s="122" t="s">
        <v>261</v>
      </c>
      <c r="C18" s="198" t="s">
        <v>262</v>
      </c>
      <c r="D18" s="124">
        <f t="shared" ref="D18" si="0">SUM(D9:D16)</f>
        <v>28389534.959999997</v>
      </c>
      <c r="E18" s="124">
        <v>47304441.180000007</v>
      </c>
      <c r="F18" s="124">
        <v>35219887.480000019</v>
      </c>
      <c r="G18" s="124">
        <v>18658782.639999989</v>
      </c>
      <c r="H18" s="124">
        <v>3386787.2200000044</v>
      </c>
      <c r="I18" s="124">
        <v>18859777.000000022</v>
      </c>
      <c r="J18" s="124">
        <v>18640366.270000007</v>
      </c>
      <c r="K18" s="124">
        <v>11511978.520000001</v>
      </c>
      <c r="L18" s="124">
        <v>3780309.9199999967</v>
      </c>
      <c r="M18" s="124">
        <v>41550407.389999993</v>
      </c>
      <c r="N18" s="124">
        <v>25547023.330000028</v>
      </c>
      <c r="O18" s="124">
        <v>21529408.000000007</v>
      </c>
      <c r="P18" s="124">
        <v>9971799.4999999925</v>
      </c>
      <c r="Q18" s="124">
        <v>46005337.399999991</v>
      </c>
      <c r="R18" s="124">
        <v>34400927.329999991</v>
      </c>
      <c r="S18" s="124">
        <v>20217127.550000027</v>
      </c>
      <c r="T18" s="124">
        <v>4837675.55</v>
      </c>
      <c r="U18" s="124">
        <v>36248025.719999976</v>
      </c>
      <c r="V18" s="124">
        <v>26114751.599999994</v>
      </c>
      <c r="W18" s="124">
        <v>11405299.809999999</v>
      </c>
      <c r="X18" s="124">
        <v>-39248.110000001456</v>
      </c>
      <c r="Y18" s="126"/>
      <c r="Z18" s="126"/>
    </row>
    <row r="19" spans="2:26" ht="5.5" customHeight="1">
      <c r="B19" s="75"/>
      <c r="C19" s="1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8"/>
      <c r="X19" s="98"/>
      <c r="Y19" s="78"/>
      <c r="Z19" s="78"/>
    </row>
    <row r="20" spans="2:26">
      <c r="B20" s="79" t="s">
        <v>263</v>
      </c>
      <c r="C20" s="196" t="s">
        <v>264</v>
      </c>
      <c r="D20" s="100">
        <f>'[1]Cash Flow'!$AJ$87</f>
        <v>-12401003.590000004</v>
      </c>
      <c r="E20" s="100">
        <v>-4893594.099999994</v>
      </c>
      <c r="F20" s="100">
        <v>-12874803.179999992</v>
      </c>
      <c r="G20" s="100">
        <v>-8515697.3900000006</v>
      </c>
      <c r="H20" s="100">
        <v>496821.73000001907</v>
      </c>
      <c r="I20" s="100">
        <v>9960046.2600000203</v>
      </c>
      <c r="J20" s="100">
        <v>20914930.450000003</v>
      </c>
      <c r="K20" s="100">
        <v>18595302.299999997</v>
      </c>
      <c r="L20" s="100">
        <v>20748673.400000006</v>
      </c>
      <c r="M20" s="100">
        <v>-12178526.439999998</v>
      </c>
      <c r="N20" s="100">
        <v>-15704165.399999991</v>
      </c>
      <c r="O20" s="100">
        <v>-9749518.1800000072</v>
      </c>
      <c r="P20" s="100">
        <v>-2054147.5899999887</v>
      </c>
      <c r="Q20" s="100">
        <v>-3217852.3899999857</v>
      </c>
      <c r="R20" s="100">
        <v>-8085008.9299999923</v>
      </c>
      <c r="S20" s="100">
        <v>5566396.4299999923</v>
      </c>
      <c r="T20" s="100">
        <v>-4923569.4621137828</v>
      </c>
      <c r="U20" s="100">
        <v>4066768.7199999839</v>
      </c>
      <c r="V20" s="100">
        <v>-5218164.380000025</v>
      </c>
      <c r="W20" s="100">
        <v>4402915.4399999827</v>
      </c>
      <c r="X20" s="100">
        <v>257778.8599999845</v>
      </c>
      <c r="Y20" s="81"/>
      <c r="Z20" s="81"/>
    </row>
    <row r="21" spans="2:26">
      <c r="B21" s="79" t="s">
        <v>265</v>
      </c>
      <c r="C21" s="196" t="s">
        <v>266</v>
      </c>
      <c r="D21" s="100">
        <f>'[1]Cash Flow'!$AJ$90</f>
        <v>22688038.219999991</v>
      </c>
      <c r="E21" s="100">
        <v>12309300.199999982</v>
      </c>
      <c r="F21" s="100">
        <v>22688038.219999991</v>
      </c>
      <c r="G21" s="100">
        <v>19082949.469999976</v>
      </c>
      <c r="H21" s="100">
        <v>11819685.039999977</v>
      </c>
      <c r="I21" s="100">
        <v>10864917.340000039</v>
      </c>
      <c r="J21" s="100">
        <v>-3269079.9299999936</v>
      </c>
      <c r="K21" s="100">
        <v>-4363923.1799999811</v>
      </c>
      <c r="L21" s="100">
        <v>-165533.03999997082</v>
      </c>
      <c r="M21" s="100">
        <v>-7196151.5700000105</v>
      </c>
      <c r="N21" s="100">
        <v>-2118233.1699999934</v>
      </c>
      <c r="O21" s="100">
        <v>-8603686.4000000041</v>
      </c>
      <c r="P21" s="100">
        <v>-11407317.509999992</v>
      </c>
      <c r="Q21" s="100">
        <v>14129511.309999976</v>
      </c>
      <c r="R21" s="100">
        <v>9435362.2599999681</v>
      </c>
      <c r="S21" s="100">
        <v>5016295.4899999611</v>
      </c>
      <c r="T21" s="100">
        <v>9710444.3499999773</v>
      </c>
      <c r="U21" s="100">
        <v>-35114619.949999958</v>
      </c>
      <c r="V21" s="100">
        <v>-23301298.029999983</v>
      </c>
      <c r="W21" s="100">
        <v>-21179166.379999969</v>
      </c>
      <c r="X21" s="100">
        <v>-8645202.9799999874</v>
      </c>
      <c r="Y21" s="81"/>
      <c r="Z21" s="81"/>
    </row>
    <row r="22" spans="2:26" ht="21">
      <c r="B22" s="79" t="s">
        <v>267</v>
      </c>
      <c r="C22" s="196" t="s">
        <v>268</v>
      </c>
      <c r="D22" s="100">
        <f>'[1]Cash Flow'!$AJ$93</f>
        <v>-11968650.670487812</v>
      </c>
      <c r="E22" s="100">
        <v>-17994981.307804875</v>
      </c>
      <c r="F22" s="100">
        <v>-11470215.680487808</v>
      </c>
      <c r="G22" s="100">
        <v>-4204851.0992683005</v>
      </c>
      <c r="H22" s="100">
        <v>-4127905.2890243921</v>
      </c>
      <c r="I22" s="100">
        <v>947353.21121952124</v>
      </c>
      <c r="J22" s="100">
        <v>6875059.5986991748</v>
      </c>
      <c r="K22" s="100">
        <v>5985228.917398395</v>
      </c>
      <c r="L22" s="100">
        <v>-3088548.3600000013</v>
      </c>
      <c r="M22" s="100">
        <v>7089990.6599999992</v>
      </c>
      <c r="N22" s="100">
        <v>16889411.439999986</v>
      </c>
      <c r="O22" s="100">
        <v>-249214.56999999844</v>
      </c>
      <c r="P22" s="100">
        <v>3800966.530000004</v>
      </c>
      <c r="Q22" s="100">
        <v>-1180324.6300000027</v>
      </c>
      <c r="R22" s="100">
        <v>-3074796.0399999996</v>
      </c>
      <c r="S22" s="100">
        <v>-2042248.8600000106</v>
      </c>
      <c r="T22" s="100">
        <v>-642491.31000001077</v>
      </c>
      <c r="U22" s="100">
        <v>-15927181.859999992</v>
      </c>
      <c r="V22" s="100">
        <v>-14215973.259999994</v>
      </c>
      <c r="W22" s="100">
        <v>-9187297.1065040641</v>
      </c>
      <c r="X22" s="100">
        <v>4504295.7900000047</v>
      </c>
      <c r="Y22" s="81"/>
      <c r="Z22" s="81"/>
    </row>
    <row r="23" spans="2:26">
      <c r="B23" s="79" t="s">
        <v>269</v>
      </c>
      <c r="C23" s="196" t="s">
        <v>270</v>
      </c>
      <c r="D23" s="100">
        <f>'[1]Cash Flow'!$AJ$98</f>
        <v>-1737443.0099999998</v>
      </c>
      <c r="E23" s="100">
        <v>852859.5299999998</v>
      </c>
      <c r="F23" s="100">
        <v>-1737443.0099999998</v>
      </c>
      <c r="G23" s="100">
        <v>1939302.8700000006</v>
      </c>
      <c r="H23" s="100">
        <v>604711.48</v>
      </c>
      <c r="I23" s="100">
        <v>-3575744.5000000005</v>
      </c>
      <c r="J23" s="100">
        <v>-4971645.2999999989</v>
      </c>
      <c r="K23" s="100">
        <v>-810244.98000000045</v>
      </c>
      <c r="L23" s="100">
        <v>-1035818.9900000002</v>
      </c>
      <c r="M23" s="100">
        <v>-247484.96999999974</v>
      </c>
      <c r="N23" s="100">
        <v>-25669.539999999106</v>
      </c>
      <c r="O23" s="100">
        <v>243047.37000000058</v>
      </c>
      <c r="P23" s="100">
        <v>-719255.75999999931</v>
      </c>
      <c r="Q23" s="100">
        <v>3160178.5300000007</v>
      </c>
      <c r="R23" s="100">
        <v>314967.3899999992</v>
      </c>
      <c r="S23" s="100">
        <v>-834535.92000000179</v>
      </c>
      <c r="T23" s="100">
        <v>-1273178.6200000001</v>
      </c>
      <c r="U23" s="100">
        <v>5112523.870000001</v>
      </c>
      <c r="V23" s="100">
        <v>3424745.3799999994</v>
      </c>
      <c r="W23" s="100">
        <v>1577018.23</v>
      </c>
      <c r="X23" s="100">
        <v>-555657.42000000039</v>
      </c>
      <c r="Y23" s="81"/>
      <c r="Z23" s="81"/>
    </row>
    <row r="24" spans="2:26">
      <c r="B24" s="79" t="s">
        <v>271</v>
      </c>
      <c r="C24" s="196" t="s">
        <v>272</v>
      </c>
      <c r="D24" s="100">
        <f>'[1]Cash Flow'!$AJ$101</f>
        <v>3507205.9400000013</v>
      </c>
      <c r="E24" s="100">
        <v>4377502.8300000019</v>
      </c>
      <c r="F24" s="100">
        <v>3507205.9400000013</v>
      </c>
      <c r="G24" s="100">
        <v>2405783.0699999966</v>
      </c>
      <c r="H24" s="100">
        <v>258105.51000000164</v>
      </c>
      <c r="I24" s="100">
        <v>4866298.3000000007</v>
      </c>
      <c r="J24" s="100">
        <v>-975410.05999999866</v>
      </c>
      <c r="K24" s="100">
        <v>173131.08999999985</v>
      </c>
      <c r="L24" s="100">
        <v>83616.429999999702</v>
      </c>
      <c r="M24" s="100">
        <v>5628079.1800000034</v>
      </c>
      <c r="N24" s="100">
        <v>-52879.64999999851</v>
      </c>
      <c r="O24" s="100">
        <v>542477.12999999896</v>
      </c>
      <c r="P24" s="100">
        <v>413497.10000000149</v>
      </c>
      <c r="Q24" s="100">
        <v>138639.8200000003</v>
      </c>
      <c r="R24" s="100">
        <v>-2928.1699999980628</v>
      </c>
      <c r="S24" s="100">
        <v>788650.30999999866</v>
      </c>
      <c r="T24" s="100">
        <v>657403.19000000134</v>
      </c>
      <c r="U24" s="100">
        <v>-127605.99000000209</v>
      </c>
      <c r="V24" s="100">
        <v>34040.089999999851</v>
      </c>
      <c r="W24" s="100">
        <v>1014128.2699999996</v>
      </c>
      <c r="X24" s="100">
        <v>723022.87000000104</v>
      </c>
      <c r="Y24" s="81"/>
      <c r="Z24" s="81"/>
    </row>
    <row r="25" spans="2:26">
      <c r="B25" s="79" t="s">
        <v>273</v>
      </c>
      <c r="C25" s="196" t="s">
        <v>274</v>
      </c>
      <c r="D25" s="100">
        <f>'[1]Cash Flow'!$AJ$106</f>
        <v>-15201695.410000008</v>
      </c>
      <c r="E25" s="100">
        <v>-18204224.440000001</v>
      </c>
      <c r="F25" s="100">
        <v>-15201695.410000008</v>
      </c>
      <c r="G25" s="100">
        <v>-13500387.710000001</v>
      </c>
      <c r="H25" s="100">
        <v>-6555234.890000008</v>
      </c>
      <c r="I25" s="100">
        <v>-5596355.7299999995</v>
      </c>
      <c r="J25" s="100">
        <v>-13218448.869999999</v>
      </c>
      <c r="K25" s="100">
        <v>-11134601.850000001</v>
      </c>
      <c r="L25" s="100">
        <v>-10829316.980000004</v>
      </c>
      <c r="M25" s="100">
        <v>4979205.2700000042</v>
      </c>
      <c r="N25" s="100">
        <v>1274242.6700000018</v>
      </c>
      <c r="O25" s="100">
        <v>2098379.3600000022</v>
      </c>
      <c r="P25" s="100">
        <v>3211387.9000000013</v>
      </c>
      <c r="Q25" s="100">
        <v>-2954086.3800000036</v>
      </c>
      <c r="R25" s="100">
        <v>18060333.100000001</v>
      </c>
      <c r="S25" s="100">
        <v>-3499826.700000003</v>
      </c>
      <c r="T25" s="100">
        <v>-4756215.82</v>
      </c>
      <c r="U25" s="100">
        <v>11263896.749999993</v>
      </c>
      <c r="V25" s="100">
        <v>9043591.9699999914</v>
      </c>
      <c r="W25" s="100">
        <v>3276163.6199999899</v>
      </c>
      <c r="X25" s="100">
        <v>4751025.0599999949</v>
      </c>
      <c r="Y25" s="81"/>
      <c r="Z25" s="81"/>
    </row>
    <row r="26" spans="2:26" ht="5.5" customHeight="1" thickBot="1">
      <c r="B26" s="75"/>
      <c r="C26" s="197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78"/>
      <c r="Z26" s="78"/>
    </row>
    <row r="27" spans="2:26" ht="11" thickBot="1">
      <c r="B27" s="95" t="s">
        <v>275</v>
      </c>
      <c r="C27" s="199" t="s">
        <v>276</v>
      </c>
      <c r="D27" s="106">
        <f t="shared" ref="D27" si="1">SUM(D18:D25)</f>
        <v>13275986.439512171</v>
      </c>
      <c r="E27" s="106">
        <v>23751303.892195117</v>
      </c>
      <c r="F27" s="106">
        <v>20130974.359512214</v>
      </c>
      <c r="G27" s="106">
        <v>15865881.850731663</v>
      </c>
      <c r="H27" s="106">
        <v>5882970.8009756021</v>
      </c>
      <c r="I27" s="106">
        <v>36326291.881219603</v>
      </c>
      <c r="J27" s="106">
        <v>23995772.158699207</v>
      </c>
      <c r="K27" s="106">
        <v>19956870.817398414</v>
      </c>
      <c r="L27" s="106">
        <v>9493382.380000025</v>
      </c>
      <c r="M27" s="106">
        <v>39625519.519999988</v>
      </c>
      <c r="N27" s="106">
        <v>25809729.680000033</v>
      </c>
      <c r="O27" s="106">
        <v>5810892.709999999</v>
      </c>
      <c r="P27" s="106">
        <v>3216930.170000019</v>
      </c>
      <c r="Q27" s="106">
        <v>56081403.659999974</v>
      </c>
      <c r="R27" s="106">
        <v>51048856.939999968</v>
      </c>
      <c r="S27" s="106">
        <v>25211858.299999963</v>
      </c>
      <c r="T27" s="106">
        <v>3610067.8778861845</v>
      </c>
      <c r="U27" s="106">
        <v>5521807.2600000016</v>
      </c>
      <c r="V27" s="106">
        <v>-4118306.6300000176</v>
      </c>
      <c r="W27" s="106">
        <v>-8690938.116504062</v>
      </c>
      <c r="X27" s="106">
        <v>996014.06999999657</v>
      </c>
      <c r="Y27" s="78"/>
      <c r="Z27" s="78"/>
    </row>
    <row r="28" spans="2:26" ht="5.5" customHeight="1">
      <c r="B28" s="75"/>
      <c r="C28" s="197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78"/>
      <c r="Z28" s="78"/>
    </row>
    <row r="29" spans="2:26">
      <c r="B29" s="75" t="s">
        <v>278</v>
      </c>
      <c r="C29" s="197" t="s">
        <v>279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78"/>
      <c r="Z29" s="78"/>
    </row>
    <row r="30" spans="2:26" ht="5.5" customHeight="1">
      <c r="B30" s="75"/>
      <c r="C30" s="197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78"/>
      <c r="Z30" s="78"/>
    </row>
    <row r="31" spans="2:26">
      <c r="B31" s="75" t="s">
        <v>26</v>
      </c>
      <c r="C31" s="197" t="s">
        <v>280</v>
      </c>
      <c r="D31" s="100">
        <f t="shared" ref="D31" si="2">SUM(D32:D33)</f>
        <v>56910.57</v>
      </c>
      <c r="E31" s="100">
        <v>56910.57</v>
      </c>
      <c r="F31" s="100">
        <v>56910.57</v>
      </c>
      <c r="G31" s="100">
        <v>56910.57</v>
      </c>
      <c r="H31" s="100">
        <v>56910.57</v>
      </c>
      <c r="I31" s="100">
        <v>0</v>
      </c>
      <c r="J31" s="100">
        <v>0</v>
      </c>
      <c r="K31" s="100">
        <v>0</v>
      </c>
      <c r="L31" s="100">
        <v>0</v>
      </c>
      <c r="M31" s="100">
        <v>7214077.5199999996</v>
      </c>
      <c r="N31" s="100">
        <v>7214077.5199999996</v>
      </c>
      <c r="O31" s="100">
        <v>4332795.67</v>
      </c>
      <c r="P31" s="100">
        <v>20424.759999999998</v>
      </c>
      <c r="Q31" s="100">
        <v>478425.19</v>
      </c>
      <c r="R31" s="100">
        <v>477075.19</v>
      </c>
      <c r="S31" s="100">
        <v>470775.19</v>
      </c>
      <c r="T31" s="100">
        <v>200</v>
      </c>
      <c r="U31" s="100">
        <v>8608237.0099999998</v>
      </c>
      <c r="V31" s="100">
        <v>9044850.6999999993</v>
      </c>
      <c r="W31" s="100">
        <v>8604700.6999999993</v>
      </c>
      <c r="X31" s="100">
        <v>8487.48</v>
      </c>
      <c r="Y31" s="78"/>
      <c r="Z31" s="78"/>
    </row>
    <row r="32" spans="2:26" ht="9.5" customHeight="1">
      <c r="B32" s="193" t="s">
        <v>27</v>
      </c>
      <c r="C32" s="196" t="s">
        <v>281</v>
      </c>
      <c r="D32" s="100">
        <f>'[1]Cash Flow'!$AJ$112</f>
        <v>56910.57</v>
      </c>
      <c r="E32" s="100">
        <v>56910.57</v>
      </c>
      <c r="F32" s="100">
        <v>56910.57</v>
      </c>
      <c r="G32" s="100">
        <v>56910.57</v>
      </c>
      <c r="H32" s="100">
        <v>56910.57</v>
      </c>
      <c r="I32" s="100">
        <v>0</v>
      </c>
      <c r="J32" s="100">
        <v>0</v>
      </c>
      <c r="K32" s="100">
        <v>0</v>
      </c>
      <c r="L32" s="100">
        <v>0</v>
      </c>
      <c r="M32" s="100">
        <v>7214077.5199999996</v>
      </c>
      <c r="N32" s="100">
        <v>7214077.5199999996</v>
      </c>
      <c r="O32" s="100">
        <v>4332795.67</v>
      </c>
      <c r="P32" s="100">
        <v>20424.759999999998</v>
      </c>
      <c r="Q32" s="100">
        <v>478425.19</v>
      </c>
      <c r="R32" s="100">
        <v>477075.19</v>
      </c>
      <c r="S32" s="100">
        <v>470775.19</v>
      </c>
      <c r="T32" s="100">
        <v>200</v>
      </c>
      <c r="U32" s="100">
        <v>8608237.0099999998</v>
      </c>
      <c r="V32" s="100">
        <v>8604850.6999999993</v>
      </c>
      <c r="W32" s="100">
        <v>8604700.6999999993</v>
      </c>
      <c r="X32" s="100">
        <v>8487.48</v>
      </c>
      <c r="Y32" s="81"/>
      <c r="Z32" s="81"/>
    </row>
    <row r="33" spans="2:26">
      <c r="B33" s="193" t="s">
        <v>329</v>
      </c>
      <c r="C33" s="196" t="s">
        <v>330</v>
      </c>
      <c r="D33" s="100">
        <f>'[1]Cash Flow'!$AJ$113</f>
        <v>0</v>
      </c>
      <c r="E33" s="100">
        <v>0</v>
      </c>
      <c r="F33" s="100">
        <v>0</v>
      </c>
      <c r="G33" s="100">
        <v>0</v>
      </c>
      <c r="H33" s="100">
        <v>0</v>
      </c>
      <c r="I33" s="100">
        <v>0</v>
      </c>
      <c r="J33" s="100">
        <v>0</v>
      </c>
      <c r="K33" s="100">
        <v>0</v>
      </c>
      <c r="L33" s="100">
        <v>0</v>
      </c>
      <c r="M33" s="100">
        <v>0</v>
      </c>
      <c r="N33" s="100">
        <v>0</v>
      </c>
      <c r="O33" s="100">
        <v>0</v>
      </c>
      <c r="P33" s="100">
        <v>0</v>
      </c>
      <c r="Q33" s="100">
        <v>0</v>
      </c>
      <c r="R33" s="100">
        <v>0</v>
      </c>
      <c r="S33" s="100">
        <v>0</v>
      </c>
      <c r="T33" s="100">
        <v>0</v>
      </c>
      <c r="U33" s="100">
        <v>0</v>
      </c>
      <c r="V33" s="100">
        <v>440000</v>
      </c>
      <c r="W33" s="100">
        <v>0</v>
      </c>
      <c r="X33" s="100">
        <v>0</v>
      </c>
      <c r="Y33" s="81"/>
      <c r="Z33" s="81"/>
    </row>
    <row r="34" spans="2:26">
      <c r="B34" s="193" t="s">
        <v>282</v>
      </c>
      <c r="C34" s="196" t="s">
        <v>283</v>
      </c>
      <c r="D34" s="100">
        <f>'[1]Cash Flow'!$AJ$115</f>
        <v>0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>
        <v>0</v>
      </c>
      <c r="O34" s="100">
        <v>0</v>
      </c>
      <c r="P34" s="100">
        <v>0</v>
      </c>
      <c r="Q34" s="100">
        <v>0</v>
      </c>
      <c r="R34" s="100">
        <v>0</v>
      </c>
      <c r="S34" s="100">
        <v>0</v>
      </c>
      <c r="T34" s="100">
        <v>0</v>
      </c>
      <c r="U34" s="100">
        <v>0</v>
      </c>
      <c r="V34" s="100">
        <v>0</v>
      </c>
      <c r="W34" s="100">
        <v>0</v>
      </c>
      <c r="X34" s="100">
        <v>0</v>
      </c>
      <c r="Y34" s="81"/>
      <c r="Z34" s="81"/>
    </row>
    <row r="35" spans="2:26" ht="5.5" customHeight="1">
      <c r="B35" s="75"/>
      <c r="C35" s="197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78"/>
      <c r="Z35" s="78"/>
    </row>
    <row r="36" spans="2:26">
      <c r="B36" s="75" t="s">
        <v>28</v>
      </c>
      <c r="C36" s="197" t="s">
        <v>284</v>
      </c>
      <c r="D36" s="100">
        <f t="shared" ref="D36" si="3">SUM(D37:D38)</f>
        <v>6967413.8695121687</v>
      </c>
      <c r="E36" s="100">
        <v>13066431.982195042</v>
      </c>
      <c r="F36" s="100">
        <v>6967413.8695121687</v>
      </c>
      <c r="G36" s="100">
        <v>6937061.4507316519</v>
      </c>
      <c r="H36" s="100">
        <v>4383251.3109755777</v>
      </c>
      <c r="I36" s="100">
        <v>11183626.531219583</v>
      </c>
      <c r="J36" s="100">
        <v>9217750.7086991984</v>
      </c>
      <c r="K36" s="100">
        <v>8438393.1073984224</v>
      </c>
      <c r="L36" s="100">
        <v>5838504.2200000258</v>
      </c>
      <c r="M36" s="100">
        <v>44165506.93999999</v>
      </c>
      <c r="N36" s="100">
        <v>28815634.910000034</v>
      </c>
      <c r="O36" s="100">
        <v>20184233.240000006</v>
      </c>
      <c r="P36" s="100">
        <v>5359249.2600000147</v>
      </c>
      <c r="Q36" s="100">
        <v>29578816.949999958</v>
      </c>
      <c r="R36" s="100">
        <v>23435694.36999996</v>
      </c>
      <c r="S36" s="100">
        <v>16429111.079999957</v>
      </c>
      <c r="T36" s="100">
        <v>2152609.8878861791</v>
      </c>
      <c r="U36" s="100">
        <v>12892126.150000004</v>
      </c>
      <c r="V36" s="100">
        <v>15714537.360000012</v>
      </c>
      <c r="W36" s="100">
        <v>8995194.4200000148</v>
      </c>
      <c r="X36" s="100">
        <v>5001887.9400000032</v>
      </c>
      <c r="Y36" s="78"/>
      <c r="Z36" s="78"/>
    </row>
    <row r="37" spans="2:26">
      <c r="B37" s="193" t="s">
        <v>29</v>
      </c>
      <c r="C37" s="196" t="s">
        <v>285</v>
      </c>
      <c r="D37" s="100">
        <f>'[1]Cash Flow'!$AJ$117</f>
        <v>6967413.8695121687</v>
      </c>
      <c r="E37" s="100">
        <v>13066431.982195042</v>
      </c>
      <c r="F37" s="100">
        <v>6967413.8695121687</v>
      </c>
      <c r="G37" s="100">
        <v>6937061.4507316519</v>
      </c>
      <c r="H37" s="100">
        <v>4383251.3109755777</v>
      </c>
      <c r="I37" s="100">
        <v>11183626.531219583</v>
      </c>
      <c r="J37" s="100">
        <v>9217750.7086991984</v>
      </c>
      <c r="K37" s="100">
        <v>8438393.1073984224</v>
      </c>
      <c r="L37" s="100">
        <v>5838504.2200000258</v>
      </c>
      <c r="M37" s="100">
        <v>44165506.93999999</v>
      </c>
      <c r="N37" s="100">
        <v>28815634.910000034</v>
      </c>
      <c r="O37" s="100">
        <v>20184233.240000006</v>
      </c>
      <c r="P37" s="100">
        <v>5359249.2600000147</v>
      </c>
      <c r="Q37" s="100">
        <v>29578816.949999958</v>
      </c>
      <c r="R37" s="100">
        <v>23435694.36999996</v>
      </c>
      <c r="S37" s="100">
        <v>16429111.079999957</v>
      </c>
      <c r="T37" s="100">
        <v>2152609.8878861791</v>
      </c>
      <c r="U37" s="100">
        <v>12892126.150000004</v>
      </c>
      <c r="V37" s="100">
        <v>15714537.360000012</v>
      </c>
      <c r="W37" s="100">
        <v>8995194.4200000148</v>
      </c>
      <c r="X37" s="100">
        <v>5001887.9400000032</v>
      </c>
      <c r="Y37" s="81"/>
      <c r="Z37" s="81"/>
    </row>
    <row r="38" spans="2:26">
      <c r="B38" s="193" t="s">
        <v>286</v>
      </c>
      <c r="C38" s="196" t="s">
        <v>287</v>
      </c>
      <c r="D38" s="100">
        <f>'[1]Cash Flow'!$AJ$127</f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v>0</v>
      </c>
      <c r="R38" s="100">
        <v>0</v>
      </c>
      <c r="S38" s="100">
        <v>0</v>
      </c>
      <c r="T38" s="100">
        <v>0</v>
      </c>
      <c r="U38" s="100">
        <v>0</v>
      </c>
      <c r="V38" s="100">
        <v>0</v>
      </c>
      <c r="W38" s="100">
        <v>0</v>
      </c>
      <c r="X38" s="100">
        <v>0</v>
      </c>
      <c r="Y38" s="81"/>
      <c r="Z38" s="81"/>
    </row>
    <row r="39" spans="2:26" ht="5.5" customHeight="1" thickBot="1">
      <c r="B39" s="194"/>
      <c r="C39" s="197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78"/>
      <c r="Z39" s="78"/>
    </row>
    <row r="40" spans="2:26" ht="11" thickBot="1">
      <c r="B40" s="195" t="s">
        <v>288</v>
      </c>
      <c r="C40" s="199" t="s">
        <v>289</v>
      </c>
      <c r="D40" s="106">
        <f t="shared" ref="D40" si="4">SUM(D31-D36)</f>
        <v>-6910503.2995121684</v>
      </c>
      <c r="E40" s="106">
        <v>-13009521.412195042</v>
      </c>
      <c r="F40" s="106">
        <v>-6910503.2995121684</v>
      </c>
      <c r="G40" s="106">
        <v>-6880150.8807316516</v>
      </c>
      <c r="H40" s="106">
        <v>-4326340.7409755774</v>
      </c>
      <c r="I40" s="106">
        <v>-11183626.531219583</v>
      </c>
      <c r="J40" s="106">
        <v>-9217750.7086991984</v>
      </c>
      <c r="K40" s="106">
        <v>-8438393.1073984224</v>
      </c>
      <c r="L40" s="106">
        <v>-5838504.2200000258</v>
      </c>
      <c r="M40" s="106">
        <v>-36951429.419999987</v>
      </c>
      <c r="N40" s="106">
        <v>-21601557.390000034</v>
      </c>
      <c r="O40" s="106">
        <v>-15851437.570000006</v>
      </c>
      <c r="P40" s="106">
        <v>-5338824.5000000149</v>
      </c>
      <c r="Q40" s="106">
        <v>-29100391.759999957</v>
      </c>
      <c r="R40" s="106">
        <v>-22958619.179999959</v>
      </c>
      <c r="S40" s="106">
        <v>-15958335.889999958</v>
      </c>
      <c r="T40" s="106">
        <v>-2152409.8878861791</v>
      </c>
      <c r="U40" s="106">
        <v>-4283889.1400000043</v>
      </c>
      <c r="V40" s="106">
        <v>-6669686.6600000132</v>
      </c>
      <c r="W40" s="106">
        <v>-390493.72000001557</v>
      </c>
      <c r="X40" s="106">
        <v>-4993400.4600000028</v>
      </c>
      <c r="Y40" s="78"/>
      <c r="Z40" s="78"/>
    </row>
    <row r="41" spans="2:26" ht="5.5" customHeight="1">
      <c r="B41" s="194"/>
      <c r="C41" s="197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78"/>
      <c r="Z41" s="78"/>
    </row>
    <row r="42" spans="2:26">
      <c r="B42" s="194" t="s">
        <v>290</v>
      </c>
      <c r="C42" s="197" t="s">
        <v>291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78"/>
      <c r="Z42" s="78"/>
    </row>
    <row r="43" spans="2:26" ht="5.5" customHeight="1">
      <c r="B43" s="194"/>
      <c r="C43" s="197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78"/>
      <c r="Z43" s="78"/>
    </row>
    <row r="44" spans="2:26">
      <c r="B44" s="194" t="s">
        <v>26</v>
      </c>
      <c r="C44" s="197" t="s">
        <v>280</v>
      </c>
      <c r="D44" s="100">
        <f t="shared" ref="D44" si="5">SUM(D45:D47)</f>
        <v>8000000</v>
      </c>
      <c r="E44" s="100">
        <v>10000000</v>
      </c>
      <c r="F44" s="100">
        <v>8000000</v>
      </c>
      <c r="G44" s="100">
        <v>6376.7900000000373</v>
      </c>
      <c r="H44" s="100">
        <v>11306.190000000002</v>
      </c>
      <c r="I44" s="150">
        <v>3796509.0700000003</v>
      </c>
      <c r="J44" s="100">
        <v>2887651.48</v>
      </c>
      <c r="K44" s="100">
        <v>2906110.02</v>
      </c>
      <c r="L44" s="100">
        <v>2936259.8</v>
      </c>
      <c r="M44" s="100">
        <v>18396302.920000002</v>
      </c>
      <c r="N44" s="100">
        <v>10439007.390000002</v>
      </c>
      <c r="O44" s="100">
        <v>9805526.6999999974</v>
      </c>
      <c r="P44" s="100">
        <v>5185707.540000001</v>
      </c>
      <c r="Q44" s="100">
        <v>15468057.6</v>
      </c>
      <c r="R44" s="100">
        <v>13996349.599999998</v>
      </c>
      <c r="S44" s="100">
        <v>5749032.2499999991</v>
      </c>
      <c r="T44" s="100">
        <v>5837269.8100000005</v>
      </c>
      <c r="U44" s="100">
        <v>33811951.939999998</v>
      </c>
      <c r="V44" s="100">
        <v>20000000</v>
      </c>
      <c r="W44" s="100">
        <v>34257169.159999996</v>
      </c>
      <c r="X44" s="100">
        <v>0</v>
      </c>
      <c r="Y44" s="78"/>
      <c r="Z44" s="78"/>
    </row>
    <row r="45" spans="2:26">
      <c r="B45" s="193" t="s">
        <v>292</v>
      </c>
      <c r="C45" s="196" t="s">
        <v>293</v>
      </c>
      <c r="D45" s="100">
        <f>'[1]Cash Flow'!$AJ$132</f>
        <v>8000000</v>
      </c>
      <c r="E45" s="100">
        <v>10000000</v>
      </c>
      <c r="F45" s="100">
        <v>8000000</v>
      </c>
      <c r="G45" s="100">
        <v>6376.7900000000373</v>
      </c>
      <c r="H45" s="100">
        <v>11306.190000000002</v>
      </c>
      <c r="I45" s="100">
        <v>12463.840000000084</v>
      </c>
      <c r="J45" s="100">
        <v>0</v>
      </c>
      <c r="K45" s="100">
        <v>18458.540000000037</v>
      </c>
      <c r="L45" s="100">
        <v>48608.320000000007</v>
      </c>
      <c r="M45" s="100">
        <v>9008715.0500000045</v>
      </c>
      <c r="N45" s="100">
        <v>10439007.390000002</v>
      </c>
      <c r="O45" s="100">
        <v>9805526.6999999974</v>
      </c>
      <c r="P45" s="100">
        <v>5185707.540000001</v>
      </c>
      <c r="Q45" s="100">
        <v>15468057.6</v>
      </c>
      <c r="R45" s="100">
        <v>13996349.599999998</v>
      </c>
      <c r="S45" s="100">
        <v>5749032.2499999991</v>
      </c>
      <c r="T45" s="100">
        <v>5837269.8100000005</v>
      </c>
      <c r="U45" s="100">
        <v>33811951.939999998</v>
      </c>
      <c r="V45" s="100">
        <v>20000000</v>
      </c>
      <c r="W45" s="100">
        <v>34257169.159999996</v>
      </c>
      <c r="X45" s="100">
        <v>0</v>
      </c>
      <c r="Y45" s="81"/>
      <c r="Z45" s="81"/>
    </row>
    <row r="46" spans="2:26">
      <c r="B46" s="193" t="s">
        <v>335</v>
      </c>
      <c r="C46" s="196" t="s">
        <v>336</v>
      </c>
      <c r="D46" s="100"/>
      <c r="E46" s="100"/>
      <c r="F46" s="100"/>
      <c r="G46" s="100"/>
      <c r="H46" s="100"/>
      <c r="I46" s="100">
        <v>3784045.23</v>
      </c>
      <c r="J46" s="100">
        <v>2887651.48</v>
      </c>
      <c r="K46" s="100">
        <v>2887651.48</v>
      </c>
      <c r="L46" s="100">
        <v>2887651.48</v>
      </c>
      <c r="M46" s="100">
        <v>9387587.8699999992</v>
      </c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81"/>
      <c r="Z46" s="81"/>
    </row>
    <row r="47" spans="2:26">
      <c r="B47" s="193" t="s">
        <v>54</v>
      </c>
      <c r="C47" s="196" t="s">
        <v>283</v>
      </c>
      <c r="D47" s="100">
        <f>'[1]Cash Flow'!$AJ$135</f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0">
        <v>0</v>
      </c>
      <c r="R47" s="100">
        <v>0</v>
      </c>
      <c r="S47" s="100">
        <v>0</v>
      </c>
      <c r="T47" s="100">
        <v>0</v>
      </c>
      <c r="U47" s="100">
        <v>0</v>
      </c>
      <c r="V47" s="100">
        <v>0</v>
      </c>
      <c r="W47" s="100">
        <v>0</v>
      </c>
      <c r="X47" s="100">
        <v>0</v>
      </c>
      <c r="Y47" s="81"/>
      <c r="Z47" s="81"/>
    </row>
    <row r="48" spans="2:26" ht="5.5" customHeight="1">
      <c r="B48" s="194"/>
      <c r="C48" s="197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78"/>
      <c r="Z48" s="78"/>
    </row>
    <row r="49" spans="2:26">
      <c r="B49" s="194" t="s">
        <v>28</v>
      </c>
      <c r="C49" s="197" t="s">
        <v>284</v>
      </c>
      <c r="D49" s="100">
        <f t="shared" ref="D49" si="6">SUM(D50:D53)</f>
        <v>26572838.870000005</v>
      </c>
      <c r="E49" s="100">
        <v>18289919.590000022</v>
      </c>
      <c r="F49" s="100">
        <v>26572838.870000005</v>
      </c>
      <c r="G49" s="100">
        <v>14548622.770000003</v>
      </c>
      <c r="H49" s="100">
        <v>5791978.7999999998</v>
      </c>
      <c r="I49" s="100">
        <v>25859544.43</v>
      </c>
      <c r="J49" s="100">
        <v>20925900.32</v>
      </c>
      <c r="K49" s="100">
        <v>14419973.760000005</v>
      </c>
      <c r="L49" s="100">
        <v>7965841.3100000061</v>
      </c>
      <c r="M49" s="100">
        <v>26525693.719999999</v>
      </c>
      <c r="N49" s="100">
        <v>21168228.740000002</v>
      </c>
      <c r="O49" s="100">
        <v>13223206.189999999</v>
      </c>
      <c r="P49" s="100">
        <v>7696921.54</v>
      </c>
      <c r="Q49" s="100">
        <v>41967033.759999998</v>
      </c>
      <c r="R49" s="100">
        <v>33727840.719999999</v>
      </c>
      <c r="S49" s="100">
        <v>16147039.830000002</v>
      </c>
      <c r="T49" s="100">
        <v>7120044.6399999997</v>
      </c>
      <c r="U49" s="100">
        <v>48432573.130000003</v>
      </c>
      <c r="V49" s="100">
        <v>34311655.450000003</v>
      </c>
      <c r="W49" s="100">
        <v>42761897.183495939</v>
      </c>
      <c r="X49" s="100">
        <v>8707583.2200000007</v>
      </c>
      <c r="Y49" s="78"/>
      <c r="Z49" s="78"/>
    </row>
    <row r="50" spans="2:26">
      <c r="B50" s="193" t="s">
        <v>30</v>
      </c>
      <c r="C50" s="196" t="s">
        <v>296</v>
      </c>
      <c r="D50" s="100">
        <f>'[1]Cash Flow'!$AJ$138</f>
        <v>16664462.74</v>
      </c>
      <c r="E50" s="100">
        <v>5025104.0400000019</v>
      </c>
      <c r="F50" s="100">
        <v>16664462.74</v>
      </c>
      <c r="G50" s="100">
        <v>8024330.1900000041</v>
      </c>
      <c r="H50" s="100">
        <v>3438226.4500000007</v>
      </c>
      <c r="I50" s="100">
        <v>17588800.939999998</v>
      </c>
      <c r="J50" s="100">
        <v>12940206.030000001</v>
      </c>
      <c r="K50" s="100">
        <v>9580312.5100000035</v>
      </c>
      <c r="L50" s="100">
        <v>5754912.6200000076</v>
      </c>
      <c r="M50" s="100">
        <v>15104924.620000001</v>
      </c>
      <c r="N50" s="100">
        <v>12358912.780000001</v>
      </c>
      <c r="O50" s="100">
        <v>7858667.8700000001</v>
      </c>
      <c r="P50" s="100">
        <v>5257664.6800000006</v>
      </c>
      <c r="Q50" s="100">
        <v>32462832.920000002</v>
      </c>
      <c r="R50" s="100">
        <v>27209257.190000001</v>
      </c>
      <c r="S50" s="100">
        <v>12466121.460000001</v>
      </c>
      <c r="T50" s="100">
        <v>5427177.1600000001</v>
      </c>
      <c r="U50" s="100">
        <v>43128214.280000001</v>
      </c>
      <c r="V50" s="100">
        <v>30496637.300000004</v>
      </c>
      <c r="W50" s="100">
        <v>40168580.640000001</v>
      </c>
      <c r="X50" s="100">
        <v>7349649.2200000016</v>
      </c>
      <c r="Y50" s="81"/>
      <c r="Z50" s="81"/>
    </row>
    <row r="51" spans="2:26">
      <c r="B51" s="193" t="s">
        <v>294</v>
      </c>
      <c r="C51" s="196" t="s">
        <v>297</v>
      </c>
      <c r="D51" s="100">
        <f>'[1]Cash Flow'!$AJ$139</f>
        <v>5390346.9700000007</v>
      </c>
      <c r="E51" s="100">
        <v>7278242.370000001</v>
      </c>
      <c r="F51" s="100">
        <v>5390346.9700000007</v>
      </c>
      <c r="G51" s="100">
        <v>3582066.3800000004</v>
      </c>
      <c r="H51" s="100">
        <v>931578.47</v>
      </c>
      <c r="I51" s="100">
        <v>4754649.8500000006</v>
      </c>
      <c r="J51" s="100">
        <v>4688397.38</v>
      </c>
      <c r="K51" s="100">
        <v>3174192.9399999995</v>
      </c>
      <c r="L51" s="100">
        <v>1381662.98</v>
      </c>
      <c r="M51" s="100">
        <v>6690401.4299999997</v>
      </c>
      <c r="N51" s="100">
        <v>5062198.0199999996</v>
      </c>
      <c r="O51" s="100">
        <v>3266510.38</v>
      </c>
      <c r="P51" s="100">
        <v>1521787.3900000001</v>
      </c>
      <c r="Q51" s="100">
        <v>6798437.9699999997</v>
      </c>
      <c r="R51" s="100">
        <v>4218024.93</v>
      </c>
      <c r="S51" s="100">
        <v>2333679.08</v>
      </c>
      <c r="T51" s="100">
        <v>878856.22</v>
      </c>
      <c r="U51" s="100">
        <v>3778911.8899999997</v>
      </c>
      <c r="V51" s="100">
        <v>2856713.82</v>
      </c>
      <c r="W51" s="100">
        <v>1725411.42</v>
      </c>
      <c r="X51" s="100">
        <v>929567.58999999985</v>
      </c>
      <c r="Y51" s="81"/>
      <c r="Z51" s="81"/>
    </row>
    <row r="52" spans="2:26">
      <c r="B52" s="193" t="s">
        <v>295</v>
      </c>
      <c r="C52" s="196" t="s">
        <v>298</v>
      </c>
      <c r="D52" s="100">
        <f>'[1]Cash Flow'!$AJ$141</f>
        <v>4518029.1600000029</v>
      </c>
      <c r="E52" s="100">
        <v>5986573.1800000183</v>
      </c>
      <c r="F52" s="100">
        <v>4518029.1600000029</v>
      </c>
      <c r="G52" s="100">
        <v>2942226.1999999993</v>
      </c>
      <c r="H52" s="100">
        <v>1422173.879999999</v>
      </c>
      <c r="I52" s="100">
        <v>3516093.6400000015</v>
      </c>
      <c r="J52" s="100">
        <v>3297296.9099999997</v>
      </c>
      <c r="K52" s="100">
        <v>1665468.3100000015</v>
      </c>
      <c r="L52" s="100">
        <v>829265.70999999903</v>
      </c>
      <c r="M52" s="100">
        <v>4730367.67</v>
      </c>
      <c r="N52" s="100">
        <v>3747117.94</v>
      </c>
      <c r="O52" s="100">
        <v>2098027.94</v>
      </c>
      <c r="P52" s="100">
        <v>917469.47</v>
      </c>
      <c r="Q52" s="100">
        <v>2705762.87</v>
      </c>
      <c r="R52" s="100">
        <v>2300558.6</v>
      </c>
      <c r="S52" s="100">
        <v>1347239.29</v>
      </c>
      <c r="T52" s="100">
        <v>814011.26</v>
      </c>
      <c r="U52" s="100">
        <v>1525446.96</v>
      </c>
      <c r="V52" s="100">
        <v>958304.33000000007</v>
      </c>
      <c r="W52" s="100">
        <v>867905.12349593476</v>
      </c>
      <c r="X52" s="100">
        <v>428366.41000000003</v>
      </c>
      <c r="Y52" s="81"/>
      <c r="Z52" s="81"/>
    </row>
    <row r="53" spans="2:26">
      <c r="B53" s="193" t="s">
        <v>54</v>
      </c>
      <c r="C53" s="196" t="s">
        <v>283</v>
      </c>
      <c r="D53" s="100">
        <f>'[1]Cash Flow'!$AJ$142</f>
        <v>0</v>
      </c>
      <c r="E53" s="100">
        <v>0</v>
      </c>
      <c r="F53" s="100">
        <v>0</v>
      </c>
      <c r="G53" s="100">
        <v>0</v>
      </c>
      <c r="H53" s="100">
        <v>0</v>
      </c>
      <c r="I53" s="100">
        <v>0</v>
      </c>
      <c r="J53" s="100">
        <v>0</v>
      </c>
      <c r="K53" s="100">
        <v>0</v>
      </c>
      <c r="L53" s="100">
        <v>0</v>
      </c>
      <c r="M53" s="100">
        <v>0</v>
      </c>
      <c r="N53" s="100">
        <v>0</v>
      </c>
      <c r="O53" s="100">
        <v>0</v>
      </c>
      <c r="P53" s="100">
        <v>0</v>
      </c>
      <c r="Q53" s="100">
        <v>0</v>
      </c>
      <c r="R53" s="100">
        <v>0</v>
      </c>
      <c r="S53" s="100">
        <v>0</v>
      </c>
      <c r="T53" s="100">
        <v>0</v>
      </c>
      <c r="U53" s="100">
        <v>0</v>
      </c>
      <c r="V53" s="100">
        <v>0</v>
      </c>
      <c r="W53" s="100">
        <v>0</v>
      </c>
      <c r="X53" s="100">
        <v>0</v>
      </c>
      <c r="Y53" s="81"/>
      <c r="Z53" s="81"/>
    </row>
    <row r="54" spans="2:26" ht="5.5" customHeight="1" thickBot="1">
      <c r="B54" s="75"/>
      <c r="C54" s="76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78"/>
      <c r="Z54" s="78"/>
    </row>
    <row r="55" spans="2:26" ht="11" thickBot="1">
      <c r="B55" s="95" t="s">
        <v>299</v>
      </c>
      <c r="C55" s="96" t="s">
        <v>300</v>
      </c>
      <c r="D55" s="106">
        <f t="shared" ref="D55" si="7">SUM(D44-D49)</f>
        <v>-18572838.870000005</v>
      </c>
      <c r="E55" s="106">
        <v>-8289919.5900000222</v>
      </c>
      <c r="F55" s="106">
        <v>-18572838.870000005</v>
      </c>
      <c r="G55" s="106">
        <v>-14542245.980000004</v>
      </c>
      <c r="H55" s="106">
        <v>-5780672.6099999994</v>
      </c>
      <c r="I55" s="106">
        <v>-22063035.359999999</v>
      </c>
      <c r="J55" s="106">
        <v>-18038248.84</v>
      </c>
      <c r="K55" s="106">
        <v>-11513863.740000006</v>
      </c>
      <c r="L55" s="106">
        <v>-5029581.5100000063</v>
      </c>
      <c r="M55" s="106">
        <v>-8129390.799999997</v>
      </c>
      <c r="N55" s="106">
        <v>-10729221.35</v>
      </c>
      <c r="O55" s="106">
        <v>-3417679.4900000021</v>
      </c>
      <c r="P55" s="106">
        <v>-2511213.9999999991</v>
      </c>
      <c r="Q55" s="106">
        <v>-26498976.159999996</v>
      </c>
      <c r="R55" s="106">
        <v>-19731491.120000001</v>
      </c>
      <c r="S55" s="106">
        <v>-10398007.580000002</v>
      </c>
      <c r="T55" s="106">
        <v>-1282774.8299999991</v>
      </c>
      <c r="U55" s="106">
        <v>-14620621.190000005</v>
      </c>
      <c r="V55" s="106">
        <v>-14311655.450000003</v>
      </c>
      <c r="W55" s="106">
        <v>-8504728.0234959424</v>
      </c>
      <c r="X55" s="106">
        <v>-8707583.2200000007</v>
      </c>
      <c r="Y55" s="78"/>
      <c r="Z55" s="78"/>
    </row>
    <row r="56" spans="2:26" ht="5.5" customHeight="1">
      <c r="B56" s="75"/>
      <c r="C56" s="76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78"/>
      <c r="Z56" s="78"/>
    </row>
    <row r="57" spans="2:26">
      <c r="B57" s="79" t="s">
        <v>301</v>
      </c>
      <c r="C57" s="80" t="s">
        <v>302</v>
      </c>
      <c r="D57" s="100">
        <f>'[1]Cash Flow'!$AJ$144</f>
        <v>-12207355.730000004</v>
      </c>
      <c r="E57" s="100">
        <v>2451862.8900000528</v>
      </c>
      <c r="F57" s="100">
        <v>-5352367.8099999614</v>
      </c>
      <c r="G57" s="100">
        <v>-5556515.0099999905</v>
      </c>
      <c r="H57" s="100">
        <v>-4224042.5499999747</v>
      </c>
      <c r="I57" s="100">
        <v>3079629.9900000207</v>
      </c>
      <c r="J57" s="100">
        <v>-3260227.3899999931</v>
      </c>
      <c r="K57" s="100">
        <v>4613.9699999839067</v>
      </c>
      <c r="L57" s="100">
        <v>-1374703.3500000071</v>
      </c>
      <c r="M57" s="100">
        <v>-5455300.6999999955</v>
      </c>
      <c r="N57" s="100">
        <v>-6521049.0599999987</v>
      </c>
      <c r="O57" s="100">
        <v>-8243892.5800000094</v>
      </c>
      <c r="P57" s="100">
        <v>-4633108.3299999945</v>
      </c>
      <c r="Q57" s="100">
        <v>482035.74000001699</v>
      </c>
      <c r="R57" s="100">
        <v>8358746.640000008</v>
      </c>
      <c r="S57" s="100">
        <v>-1144485.1699999981</v>
      </c>
      <c r="T57" s="100">
        <v>174883.1600000062</v>
      </c>
      <c r="U57" s="100">
        <v>-13382703.070000008</v>
      </c>
      <c r="V57" s="100">
        <v>-25099648.740000032</v>
      </c>
      <c r="W57" s="100">
        <v>-17586159.860000022</v>
      </c>
      <c r="X57" s="100">
        <v>-12704969.610000007</v>
      </c>
      <c r="Y57" s="81"/>
      <c r="Z57" s="81"/>
    </row>
    <row r="58" spans="2:26">
      <c r="B58" s="79" t="s">
        <v>303</v>
      </c>
      <c r="C58" s="80" t="s">
        <v>304</v>
      </c>
      <c r="D58" s="100">
        <f>'[1]Cash Flow'!$AJ$145</f>
        <v>6971296.5899999999</v>
      </c>
      <c r="E58" s="100">
        <v>6962935.79</v>
      </c>
      <c r="F58" s="100">
        <v>6962935.79</v>
      </c>
      <c r="G58" s="100">
        <v>6962935.79</v>
      </c>
      <c r="H58" s="100">
        <v>6962935.79</v>
      </c>
      <c r="I58" s="100">
        <v>3883305.8000000082</v>
      </c>
      <c r="J58" s="100">
        <v>3883305.8000000082</v>
      </c>
      <c r="K58" s="100">
        <v>3883305.8000000082</v>
      </c>
      <c r="L58" s="100">
        <v>3883305.8000000082</v>
      </c>
      <c r="M58" s="100">
        <v>9338606.5000000037</v>
      </c>
      <c r="N58" s="100">
        <v>9338606.5000000037</v>
      </c>
      <c r="O58" s="100">
        <v>9338606.5000000037</v>
      </c>
      <c r="P58" s="100">
        <v>9338606.5000000037</v>
      </c>
      <c r="Q58" s="100">
        <v>8856570.7599999998</v>
      </c>
      <c r="R58" s="100">
        <v>8856570.7599999998</v>
      </c>
      <c r="S58" s="100">
        <v>8856570.7599999998</v>
      </c>
      <c r="T58" s="100">
        <v>8856570.7599999998</v>
      </c>
      <c r="U58" s="100">
        <v>22239273.830000006</v>
      </c>
      <c r="V58" s="100">
        <v>22239273.830000006</v>
      </c>
      <c r="W58" s="100">
        <v>22239273.830000006</v>
      </c>
      <c r="X58" s="100">
        <v>22239273.830000006</v>
      </c>
      <c r="Y58" s="81"/>
      <c r="Z58" s="81"/>
    </row>
    <row r="59" spans="2:26">
      <c r="B59" s="79" t="s">
        <v>305</v>
      </c>
      <c r="C59" s="80" t="s">
        <v>304</v>
      </c>
      <c r="D59" s="100">
        <f>'[1]Cash Flow'!$AJ$147</f>
        <v>6971296.5899999999</v>
      </c>
      <c r="E59" s="100">
        <v>6962935.79</v>
      </c>
      <c r="F59" s="100">
        <v>6962935.79</v>
      </c>
      <c r="G59" s="100">
        <v>6962935.79</v>
      </c>
      <c r="H59" s="100">
        <v>6962935.79</v>
      </c>
      <c r="I59" s="100">
        <v>3883305.8000000082</v>
      </c>
      <c r="J59" s="100">
        <v>3883305.8000000082</v>
      </c>
      <c r="K59" s="100">
        <v>3883305.8000000082</v>
      </c>
      <c r="L59" s="100">
        <v>3883305.8000000082</v>
      </c>
      <c r="M59" s="100">
        <v>9338606.5000000037</v>
      </c>
      <c r="N59" s="100">
        <v>9338606.5000000037</v>
      </c>
      <c r="O59" s="100">
        <v>9338606.5000000037</v>
      </c>
      <c r="P59" s="100">
        <v>9338606.5000000037</v>
      </c>
      <c r="Q59" s="100">
        <v>8856570.7599999998</v>
      </c>
      <c r="R59" s="100">
        <v>8856570.7599999998</v>
      </c>
      <c r="S59" s="100">
        <v>8856570.7599999998</v>
      </c>
      <c r="T59" s="100">
        <v>8856570.7599999998</v>
      </c>
      <c r="U59" s="100">
        <v>22239273.830000006</v>
      </c>
      <c r="V59" s="100">
        <v>22239273.830000006</v>
      </c>
      <c r="W59" s="100">
        <v>22239273.830000006</v>
      </c>
      <c r="X59" s="100">
        <v>22239273.830000006</v>
      </c>
      <c r="Y59" s="81"/>
      <c r="Z59" s="81"/>
    </row>
    <row r="60" spans="2:26">
      <c r="B60" s="79" t="s">
        <v>25</v>
      </c>
      <c r="C60" s="80" t="s">
        <v>312</v>
      </c>
      <c r="D60" s="100">
        <f>'[1]Cash Flow'!$AJ$148</f>
        <v>0</v>
      </c>
      <c r="E60" s="100">
        <v>0</v>
      </c>
      <c r="F60" s="100">
        <v>0</v>
      </c>
      <c r="G60" s="100">
        <v>0</v>
      </c>
      <c r="H60" s="100">
        <v>0</v>
      </c>
      <c r="I60" s="100">
        <v>0</v>
      </c>
      <c r="J60" s="100">
        <v>0</v>
      </c>
      <c r="K60" s="100">
        <v>0</v>
      </c>
      <c r="L60" s="100">
        <v>0</v>
      </c>
      <c r="M60" s="100">
        <v>0</v>
      </c>
      <c r="N60" s="100">
        <v>0</v>
      </c>
      <c r="O60" s="100">
        <v>0</v>
      </c>
      <c r="P60" s="100">
        <v>0</v>
      </c>
      <c r="Q60" s="100">
        <v>0</v>
      </c>
      <c r="R60" s="100">
        <v>0</v>
      </c>
      <c r="S60" s="100">
        <v>0</v>
      </c>
      <c r="T60" s="100">
        <v>0</v>
      </c>
      <c r="U60" s="100">
        <v>0</v>
      </c>
      <c r="V60" s="100">
        <v>0</v>
      </c>
      <c r="W60" s="100">
        <v>0</v>
      </c>
      <c r="X60" s="100">
        <v>0</v>
      </c>
      <c r="Y60" s="81"/>
      <c r="Z60" s="81"/>
    </row>
    <row r="61" spans="2:26" ht="5.5" customHeight="1">
      <c r="B61" s="75"/>
      <c r="C61" s="76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78"/>
      <c r="Z61" s="78"/>
    </row>
    <row r="62" spans="2:26" s="111" customFormat="1">
      <c r="B62" s="122" t="s">
        <v>306</v>
      </c>
      <c r="C62" s="123" t="s">
        <v>307</v>
      </c>
      <c r="D62" s="124">
        <f>'[1]Cash Flow'!$AJ$149</f>
        <v>-5236059.1400000043</v>
      </c>
      <c r="E62" s="124">
        <v>9414798.6800000519</v>
      </c>
      <c r="F62" s="124">
        <v>1610567.9800000386</v>
      </c>
      <c r="G62" s="124">
        <v>1406420.7800000096</v>
      </c>
      <c r="H62" s="124">
        <v>2738893.2400000254</v>
      </c>
      <c r="I62" s="124">
        <v>6962935.7900000289</v>
      </c>
      <c r="J62" s="124">
        <v>623078.41000001505</v>
      </c>
      <c r="K62" s="124">
        <v>3887919.7699999921</v>
      </c>
      <c r="L62" s="124">
        <v>2508602.4500000011</v>
      </c>
      <c r="M62" s="124">
        <v>3883305.8000000082</v>
      </c>
      <c r="N62" s="124">
        <v>2817557.4400000051</v>
      </c>
      <c r="O62" s="124">
        <v>1094713.9199999943</v>
      </c>
      <c r="P62" s="124">
        <v>4705498.1700000092</v>
      </c>
      <c r="Q62" s="124">
        <v>9338606.5000000168</v>
      </c>
      <c r="R62" s="124">
        <v>17215317.400000006</v>
      </c>
      <c r="S62" s="124">
        <v>7712085.5900000017</v>
      </c>
      <c r="T62" s="124">
        <v>9031453.9200000055</v>
      </c>
      <c r="U62" s="124">
        <v>8856570.7599999979</v>
      </c>
      <c r="V62" s="124">
        <v>-2860374.9100000262</v>
      </c>
      <c r="W62" s="124">
        <v>4653113.9699999839</v>
      </c>
      <c r="X62" s="124">
        <v>9534304.2199999988</v>
      </c>
      <c r="Y62" s="126"/>
      <c r="Z62" s="126"/>
    </row>
    <row r="63" spans="2:26" ht="5.5" customHeight="1">
      <c r="B63" s="75"/>
      <c r="C63" s="76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8"/>
      <c r="Y63" s="78"/>
      <c r="Z63" s="78"/>
    </row>
    <row r="64" spans="2:26">
      <c r="B64" s="79" t="s">
        <v>313</v>
      </c>
      <c r="C64" s="80" t="s">
        <v>314</v>
      </c>
      <c r="D64" s="100">
        <f>'[1]Cash Flow'!$AJ$148</f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0">
        <v>0</v>
      </c>
      <c r="R64" s="100">
        <v>0</v>
      </c>
      <c r="S64" s="100">
        <v>0</v>
      </c>
      <c r="T64" s="100">
        <v>0</v>
      </c>
      <c r="U64" s="100">
        <v>0</v>
      </c>
      <c r="V64" s="100">
        <v>0</v>
      </c>
      <c r="W64" s="100">
        <v>0</v>
      </c>
      <c r="X64" s="100">
        <v>0</v>
      </c>
      <c r="Y64" s="81"/>
      <c r="Z64" s="81"/>
    </row>
    <row r="65" spans="2:26">
      <c r="B65" s="79" t="s">
        <v>308</v>
      </c>
      <c r="C65" s="80" t="s">
        <v>309</v>
      </c>
      <c r="D65" s="100">
        <f>'[1]Cash Flow'!$AJ$151</f>
        <v>-5236059.1400000043</v>
      </c>
      <c r="E65" s="100">
        <v>9414798.6800000519</v>
      </c>
      <c r="F65" s="100">
        <v>1610567.9800000386</v>
      </c>
      <c r="G65" s="100">
        <v>1406420.7800000096</v>
      </c>
      <c r="H65" s="100">
        <v>2738893.2400000254</v>
      </c>
      <c r="I65" s="100">
        <v>6962935.7900000289</v>
      </c>
      <c r="J65" s="100">
        <v>623078.41000001505</v>
      </c>
      <c r="K65" s="100">
        <v>3887919.7699999921</v>
      </c>
      <c r="L65" s="100">
        <v>2508602.4500000011</v>
      </c>
      <c r="M65" s="100">
        <v>3883305.8000000082</v>
      </c>
      <c r="N65" s="100">
        <v>2817557.4400000051</v>
      </c>
      <c r="O65" s="100">
        <v>1094713.9199999943</v>
      </c>
      <c r="P65" s="100">
        <v>4705498.1700000092</v>
      </c>
      <c r="Q65" s="100">
        <v>9338606.5000000168</v>
      </c>
      <c r="R65" s="100">
        <v>17215317.400000006</v>
      </c>
      <c r="S65" s="100">
        <v>7712085.5900000017</v>
      </c>
      <c r="T65" s="100">
        <v>9031453.9200000055</v>
      </c>
      <c r="U65" s="100">
        <v>8856570.7599999979</v>
      </c>
      <c r="V65" s="100">
        <v>-2860374.9100000262</v>
      </c>
      <c r="W65" s="100">
        <v>4653113.9699999839</v>
      </c>
      <c r="X65" s="100">
        <v>9534304.2199999988</v>
      </c>
      <c r="Y65" s="81"/>
      <c r="Z65" s="81"/>
    </row>
    <row r="66" spans="2:26">
      <c r="B66" s="79" t="s">
        <v>199</v>
      </c>
      <c r="C66" s="80" t="s">
        <v>315</v>
      </c>
      <c r="D66" s="100">
        <f>'[1]Cash Flow'!$AJ$152</f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0">
        <v>0</v>
      </c>
      <c r="R66" s="100">
        <v>0</v>
      </c>
      <c r="S66" s="100">
        <v>0</v>
      </c>
      <c r="T66" s="100">
        <v>0</v>
      </c>
      <c r="U66" s="100">
        <v>0</v>
      </c>
      <c r="V66" s="100">
        <v>14247777.24</v>
      </c>
      <c r="W66" s="100">
        <v>0</v>
      </c>
      <c r="X66" s="100">
        <v>0</v>
      </c>
      <c r="Y66" s="81"/>
      <c r="Z66" s="81"/>
    </row>
    <row r="67" spans="2:26" ht="5.5" customHeight="1" thickBot="1">
      <c r="B67" s="75"/>
      <c r="C67" s="76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78"/>
      <c r="Z67" s="78"/>
    </row>
    <row r="68" spans="2:26" ht="11" thickBot="1">
      <c r="B68" s="95" t="s">
        <v>310</v>
      </c>
      <c r="C68" s="96" t="s">
        <v>311</v>
      </c>
      <c r="D68" s="105">
        <f>'[1]Cash Flow'!$AJ$153</f>
        <v>-5236059.1400000043</v>
      </c>
      <c r="E68" s="105">
        <v>9414798.6800000519</v>
      </c>
      <c r="F68" s="105">
        <v>1610567.9800000386</v>
      </c>
      <c r="G68" s="105">
        <v>1406420.7800000096</v>
      </c>
      <c r="H68" s="105">
        <v>2738893.2400000254</v>
      </c>
      <c r="I68" s="106">
        <v>6962935.7900000289</v>
      </c>
      <c r="J68" s="106">
        <v>623078.41000001505</v>
      </c>
      <c r="K68" s="106">
        <v>3887919.7699999921</v>
      </c>
      <c r="L68" s="106">
        <v>2508602.4500000011</v>
      </c>
      <c r="M68" s="106">
        <v>3883305.8000000082</v>
      </c>
      <c r="N68" s="106">
        <v>2817557.4400000051</v>
      </c>
      <c r="O68" s="106">
        <v>1094713.9199999943</v>
      </c>
      <c r="P68" s="106">
        <v>4705498.1700000092</v>
      </c>
      <c r="Q68" s="106">
        <v>9338606.5000000168</v>
      </c>
      <c r="R68" s="106">
        <v>17215317.400000006</v>
      </c>
      <c r="S68" s="106">
        <v>7712085.5900000017</v>
      </c>
      <c r="T68" s="106">
        <v>9031453.9200000055</v>
      </c>
      <c r="U68" s="106">
        <v>8856570.7599999979</v>
      </c>
      <c r="V68" s="106">
        <v>11387402.329999974</v>
      </c>
      <c r="W68" s="106">
        <v>4653113.9699999839</v>
      </c>
      <c r="X68" s="106">
        <v>9534304.2199999988</v>
      </c>
      <c r="Y68" s="78"/>
      <c r="Z68" s="78"/>
    </row>
    <row r="69" spans="2:26">
      <c r="H69" s="149"/>
    </row>
  </sheetData>
  <pageMargins left="0.7" right="0.7" top="0.75" bottom="0.75" header="0.3" footer="0.3"/>
  <pageSetup paperSize="9" scale="1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4D82E-8719-4CA4-B6EC-65EA82D4D046}">
  <sheetPr>
    <tabColor rgb="FF336699"/>
    <pageSetUpPr fitToPage="1"/>
  </sheetPr>
  <dimension ref="A2:Z76"/>
  <sheetViews>
    <sheetView showGridLines="0" topLeftCell="A25" workbookViewId="0">
      <selection activeCell="D12" sqref="D12"/>
    </sheetView>
  </sheetViews>
  <sheetFormatPr defaultColWidth="9.1796875" defaultRowHeight="10.5"/>
  <cols>
    <col min="1" max="1" width="2.81640625" style="73" customWidth="1"/>
    <col min="2" max="3" width="45.453125" style="73" customWidth="1"/>
    <col min="4" max="5" width="13.453125" style="73" customWidth="1"/>
    <col min="6" max="6" width="11" style="73" customWidth="1"/>
    <col min="7" max="7" width="11.453125" style="73" customWidth="1"/>
    <col min="8" max="8" width="13.453125" style="73" customWidth="1"/>
    <col min="9" max="10" width="11" style="73" customWidth="1"/>
    <col min="11" max="11" width="11.453125" style="73" customWidth="1"/>
    <col min="12" max="12" width="13.453125" style="73" customWidth="1"/>
    <col min="13" max="14" width="11" style="73" customWidth="1"/>
    <col min="15" max="15" width="11.453125" style="73" customWidth="1"/>
    <col min="16" max="18" width="11" style="73" customWidth="1"/>
    <col min="19" max="19" width="11.453125" style="73" customWidth="1"/>
    <col min="20" max="20" width="11" style="73" customWidth="1"/>
    <col min="21" max="21" width="11.1796875" style="73" customWidth="1"/>
    <col min="22" max="22" width="11" style="73" customWidth="1"/>
    <col min="23" max="23" width="11.453125" style="73" customWidth="1"/>
    <col min="24" max="24" width="11" style="73" customWidth="1"/>
    <col min="25" max="26" width="0.54296875" style="73" customWidth="1"/>
    <col min="27" max="16384" width="9.1796875" style="73"/>
  </cols>
  <sheetData>
    <row r="2" spans="1:26">
      <c r="B2" s="90" t="s">
        <v>167</v>
      </c>
    </row>
    <row r="3" spans="1:26">
      <c r="B3" s="73" t="s">
        <v>316</v>
      </c>
    </row>
    <row r="5" spans="1:26" s="74" customFormat="1" ht="20.5" customHeight="1">
      <c r="A5" s="133"/>
      <c r="B5" s="134"/>
      <c r="C5" s="135"/>
      <c r="D5" s="137">
        <v>46112</v>
      </c>
      <c r="E5" s="136">
        <v>46022</v>
      </c>
      <c r="F5" s="137">
        <v>45930</v>
      </c>
      <c r="G5" s="137">
        <v>45838</v>
      </c>
      <c r="H5" s="137">
        <v>45747</v>
      </c>
      <c r="I5" s="136">
        <v>45657</v>
      </c>
      <c r="J5" s="137">
        <v>45565</v>
      </c>
      <c r="K5" s="137">
        <v>45473</v>
      </c>
      <c r="L5" s="137">
        <v>45382</v>
      </c>
      <c r="M5" s="136">
        <v>45291</v>
      </c>
      <c r="N5" s="137">
        <v>45199</v>
      </c>
      <c r="O5" s="137">
        <v>45107</v>
      </c>
      <c r="P5" s="137">
        <v>45016</v>
      </c>
      <c r="Q5" s="136">
        <v>44926</v>
      </c>
      <c r="R5" s="137">
        <v>44834</v>
      </c>
      <c r="S5" s="137">
        <v>44742</v>
      </c>
      <c r="T5" s="137">
        <v>44651</v>
      </c>
      <c r="U5" s="136">
        <v>44561</v>
      </c>
      <c r="V5" s="137">
        <v>44469</v>
      </c>
      <c r="W5" s="137">
        <v>44377</v>
      </c>
      <c r="X5" s="137">
        <v>44286</v>
      </c>
    </row>
    <row r="6" spans="1:26" ht="5.5" customHeight="1"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7"/>
      <c r="Y6" s="78"/>
      <c r="Z6" s="78"/>
    </row>
    <row r="7" spans="1:26">
      <c r="B7" s="75" t="s">
        <v>0</v>
      </c>
      <c r="C7" s="76" t="s">
        <v>136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8"/>
      <c r="Y7" s="78"/>
      <c r="Z7" s="78"/>
    </row>
    <row r="8" spans="1:26" ht="5.5" customHeight="1">
      <c r="B8" s="75"/>
      <c r="C8" s="76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8"/>
      <c r="Y8" s="78"/>
      <c r="Z8" s="78"/>
    </row>
    <row r="9" spans="1:26">
      <c r="B9" s="75" t="s">
        <v>1</v>
      </c>
      <c r="C9" s="76" t="s">
        <v>137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Z9" s="78"/>
    </row>
    <row r="10" spans="1:26" ht="11.25" customHeight="1">
      <c r="B10" s="112" t="s">
        <v>2</v>
      </c>
      <c r="C10" s="113" t="s">
        <v>138</v>
      </c>
      <c r="D10" s="100">
        <f>'[1]Balance Sheet'!$E$10</f>
        <v>272525937.19</v>
      </c>
      <c r="E10" s="100">
        <v>273739268.90000004</v>
      </c>
      <c r="F10" s="100">
        <v>274779458.96000004</v>
      </c>
      <c r="G10" s="100">
        <v>277295783.24000001</v>
      </c>
      <c r="H10" s="100">
        <v>280064542.69000006</v>
      </c>
      <c r="I10" s="100">
        <v>283117478.05999994</v>
      </c>
      <c r="J10" s="100">
        <v>286375451.74000001</v>
      </c>
      <c r="K10" s="100">
        <v>292183596.99000001</v>
      </c>
      <c r="L10" s="100">
        <v>295126406.27000004</v>
      </c>
      <c r="M10" s="100">
        <v>274670907.51999998</v>
      </c>
      <c r="N10" s="100">
        <v>268484070.93000001</v>
      </c>
      <c r="O10" s="100">
        <v>270858043.00999999</v>
      </c>
      <c r="P10" s="100">
        <v>272526846.88</v>
      </c>
      <c r="Q10" s="100">
        <v>275050663.14999998</v>
      </c>
      <c r="R10" s="100">
        <v>278547685.97000003</v>
      </c>
      <c r="S10" s="100">
        <v>280825896.54000002</v>
      </c>
      <c r="T10" s="100">
        <v>283541481.08000004</v>
      </c>
      <c r="U10" s="100">
        <v>286551174.38</v>
      </c>
      <c r="V10" s="100">
        <v>291394766.56999993</v>
      </c>
      <c r="W10" s="100">
        <v>306584602.05999994</v>
      </c>
      <c r="X10" s="100">
        <v>306922819.09999996</v>
      </c>
      <c r="Z10" s="81"/>
    </row>
    <row r="11" spans="1:26">
      <c r="B11" s="112" t="s">
        <v>139</v>
      </c>
      <c r="C11" s="113" t="s">
        <v>140</v>
      </c>
      <c r="D11" s="100">
        <f>'[1]Balance Sheet'!$E$11</f>
        <v>13984650.630000003</v>
      </c>
      <c r="E11" s="100">
        <v>12259463.689999999</v>
      </c>
      <c r="F11" s="100">
        <v>12221597.090000002</v>
      </c>
      <c r="G11" s="100">
        <v>12875082.800000001</v>
      </c>
      <c r="H11" s="100">
        <v>13008234.48</v>
      </c>
      <c r="I11" s="100">
        <v>14111561.020000001</v>
      </c>
      <c r="J11" s="100">
        <v>8166281.9600000018</v>
      </c>
      <c r="K11" s="100">
        <v>9215804.6500000004</v>
      </c>
      <c r="L11" s="100">
        <v>10276573.09</v>
      </c>
      <c r="M11" s="100">
        <v>11337341.440000001</v>
      </c>
      <c r="N11" s="100">
        <v>12398109.959999999</v>
      </c>
      <c r="O11" s="100">
        <v>10510773.569999998</v>
      </c>
      <c r="P11" s="100">
        <v>9578430.209999999</v>
      </c>
      <c r="Q11" s="100">
        <v>9565355.1899999995</v>
      </c>
      <c r="R11" s="100">
        <v>10101572.459999999</v>
      </c>
      <c r="S11" s="100">
        <v>10249538.720000001</v>
      </c>
      <c r="T11" s="100">
        <v>10583386.57</v>
      </c>
      <c r="U11" s="100">
        <v>11235349.609999999</v>
      </c>
      <c r="V11" s="100">
        <v>11728579.83</v>
      </c>
      <c r="W11" s="100">
        <v>5.8207660913467407E-11</v>
      </c>
      <c r="X11" s="100">
        <v>419262.98999999976</v>
      </c>
      <c r="Z11" s="81"/>
    </row>
    <row r="12" spans="1:26">
      <c r="B12" s="112" t="s">
        <v>323</v>
      </c>
      <c r="C12" s="113" t="s">
        <v>324</v>
      </c>
      <c r="D12" s="100">
        <f>'[1]Balance Sheet'!$E$12</f>
        <v>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v>1357243</v>
      </c>
      <c r="R12" s="100">
        <v>1357243</v>
      </c>
      <c r="S12" s="100">
        <v>1357243</v>
      </c>
      <c r="T12" s="100">
        <v>1357243</v>
      </c>
      <c r="U12" s="100">
        <v>1357243</v>
      </c>
      <c r="V12" s="100">
        <v>1357243</v>
      </c>
      <c r="W12" s="100">
        <v>1357243</v>
      </c>
      <c r="X12" s="100">
        <v>1357243</v>
      </c>
      <c r="Z12" s="81"/>
    </row>
    <row r="13" spans="1:26" ht="11.25" customHeight="1">
      <c r="B13" s="112" t="s">
        <v>141</v>
      </c>
      <c r="C13" s="113" t="s">
        <v>145</v>
      </c>
      <c r="D13" s="100">
        <f>'[1]Balance Sheet'!$E$14</f>
        <v>322921394.21000004</v>
      </c>
      <c r="E13" s="100">
        <v>326503824.00000006</v>
      </c>
      <c r="F13" s="100">
        <v>329469348.63000005</v>
      </c>
      <c r="G13" s="100">
        <v>333117482.19000006</v>
      </c>
      <c r="H13" s="100">
        <v>335880161.08000004</v>
      </c>
      <c r="I13" s="100">
        <v>337172114.46999997</v>
      </c>
      <c r="J13" s="100">
        <v>339368170.11000007</v>
      </c>
      <c r="K13" s="100">
        <v>338495314.84000003</v>
      </c>
      <c r="L13" s="100">
        <v>339859239.22999996</v>
      </c>
      <c r="M13" s="100">
        <v>363320584.87</v>
      </c>
      <c r="N13" s="100">
        <v>370086659.22000009</v>
      </c>
      <c r="O13" s="100">
        <v>366656893.66000003</v>
      </c>
      <c r="P13" s="100">
        <v>361840062.71999997</v>
      </c>
      <c r="Q13" s="100">
        <v>362410749.33000004</v>
      </c>
      <c r="R13" s="100">
        <v>363751396.36000001</v>
      </c>
      <c r="S13" s="100">
        <v>364757191.24000001</v>
      </c>
      <c r="T13" s="100">
        <v>365103661.5</v>
      </c>
      <c r="U13" s="100">
        <v>361626040.80000007</v>
      </c>
      <c r="V13" s="100">
        <v>363294081.09000003</v>
      </c>
      <c r="W13" s="100">
        <v>365447112.45999998</v>
      </c>
      <c r="X13" s="100">
        <v>369737270.74000001</v>
      </c>
      <c r="Z13" s="82"/>
    </row>
    <row r="14" spans="1:26">
      <c r="B14" s="112" t="s">
        <v>142</v>
      </c>
      <c r="C14" s="113" t="s">
        <v>146</v>
      </c>
      <c r="D14" s="100">
        <f>'[1]Balance Sheet'!$E$15</f>
        <v>4923099.17</v>
      </c>
      <c r="E14" s="100">
        <v>4942429.0999999996</v>
      </c>
      <c r="F14" s="100">
        <v>4961759.0199999996</v>
      </c>
      <c r="G14" s="100">
        <v>4981088.95</v>
      </c>
      <c r="H14" s="100">
        <v>5000418.87</v>
      </c>
      <c r="I14" s="100">
        <v>5019748.8</v>
      </c>
      <c r="J14" s="100">
        <v>5039078.72</v>
      </c>
      <c r="K14" s="100">
        <v>5058408.6500000004</v>
      </c>
      <c r="L14" s="100">
        <v>5077738.57</v>
      </c>
      <c r="M14" s="100">
        <v>5097068.5</v>
      </c>
      <c r="N14" s="100">
        <v>5116398.42</v>
      </c>
      <c r="O14" s="100">
        <v>5135728.3499999996</v>
      </c>
      <c r="P14" s="100">
        <v>5155058.2699999996</v>
      </c>
      <c r="Q14" s="100">
        <v>5174388.2</v>
      </c>
      <c r="R14" s="100">
        <v>5193718.12</v>
      </c>
      <c r="S14" s="100">
        <v>5213048.05</v>
      </c>
      <c r="T14" s="100">
        <v>5232377.97</v>
      </c>
      <c r="U14" s="100">
        <v>5246767.6400000006</v>
      </c>
      <c r="V14" s="100">
        <v>5271037.82</v>
      </c>
      <c r="W14" s="100">
        <v>5329010.8099999996</v>
      </c>
      <c r="X14" s="100">
        <v>5309697.67</v>
      </c>
      <c r="Z14" s="81"/>
    </row>
    <row r="15" spans="1:26">
      <c r="B15" s="112" t="s">
        <v>331</v>
      </c>
      <c r="C15" s="113" t="s">
        <v>339</v>
      </c>
      <c r="D15" s="100">
        <f>'[1]Balance Sheet'!$E$16</f>
        <v>11628541.619999999</v>
      </c>
      <c r="E15" s="100">
        <v>11333797.689999999</v>
      </c>
      <c r="F15" s="100">
        <v>12321562.949999999</v>
      </c>
      <c r="G15" s="100">
        <v>12064521.869999999</v>
      </c>
      <c r="H15" s="100">
        <v>11795283.24</v>
      </c>
      <c r="I15" s="100">
        <v>11518442.810000001</v>
      </c>
      <c r="J15" s="100">
        <v>14230065.859999999</v>
      </c>
      <c r="K15" s="100">
        <v>13946608.439999999</v>
      </c>
      <c r="L15" s="100">
        <v>13666009.539999999</v>
      </c>
      <c r="M15" s="100">
        <v>13502926.120000001</v>
      </c>
      <c r="N15" s="100">
        <v>15014360.259999998</v>
      </c>
      <c r="O15" s="100">
        <v>14699437.08</v>
      </c>
      <c r="P15" s="100">
        <v>14383377.870000001</v>
      </c>
      <c r="Q15" s="100">
        <v>14063047.49</v>
      </c>
      <c r="R15" s="100">
        <v>14428642.17</v>
      </c>
      <c r="S15" s="100">
        <v>14115884.09</v>
      </c>
      <c r="T15" s="100">
        <v>13860189.279999999</v>
      </c>
      <c r="U15" s="100">
        <v>15226676.450000001</v>
      </c>
      <c r="V15" s="100">
        <v>15824860.819999998</v>
      </c>
      <c r="W15" s="100">
        <v>16126698.98</v>
      </c>
      <c r="X15" s="100">
        <v>16071249.289999999</v>
      </c>
      <c r="Z15" s="81"/>
    </row>
    <row r="16" spans="1:26">
      <c r="B16" s="112" t="s">
        <v>340</v>
      </c>
      <c r="C16" s="113" t="s">
        <v>341</v>
      </c>
      <c r="D16" s="100">
        <f>'[1]Balance Sheet'!$E$46</f>
        <v>3965239.4300000072</v>
      </c>
      <c r="E16" s="100">
        <v>3965239.4300000072</v>
      </c>
      <c r="F16" s="100">
        <v>3965239.4300000072</v>
      </c>
      <c r="G16" s="100">
        <v>3965239.4300000072</v>
      </c>
      <c r="H16" s="100">
        <v>3965239.4300000072</v>
      </c>
      <c r="I16" s="100">
        <v>3965239.4300000072</v>
      </c>
      <c r="J16" s="100">
        <v>3965239.4300000072</v>
      </c>
      <c r="K16" s="100">
        <v>3965239.4300000072</v>
      </c>
      <c r="L16" s="100">
        <v>3965239.4300000072</v>
      </c>
      <c r="M16" s="100">
        <v>3965239.4300000072</v>
      </c>
      <c r="N16" s="100">
        <v>3965239.4300000072</v>
      </c>
      <c r="O16" s="100">
        <v>3965239.4300000072</v>
      </c>
      <c r="P16" s="100">
        <v>3965239.4300000072</v>
      </c>
      <c r="Q16" s="100">
        <v>3965239.4300000072</v>
      </c>
      <c r="R16" s="100">
        <v>3965239.4300000072</v>
      </c>
      <c r="S16" s="100">
        <v>3965239.4300000072</v>
      </c>
      <c r="T16" s="100">
        <v>3965239.4300000072</v>
      </c>
      <c r="U16" s="100">
        <v>3965239.4300000072</v>
      </c>
      <c r="V16" s="100">
        <v>3965239.4300000072</v>
      </c>
      <c r="W16" s="100">
        <v>3965239.4300000072</v>
      </c>
      <c r="X16" s="100">
        <v>3965239.4300000072</v>
      </c>
      <c r="Z16" s="81"/>
    </row>
    <row r="17" spans="2:26">
      <c r="B17" s="112" t="s">
        <v>143</v>
      </c>
      <c r="C17" s="113" t="s">
        <v>147</v>
      </c>
      <c r="D17" s="100">
        <f>'[1]Balance Sheet'!$E$67</f>
        <v>0</v>
      </c>
      <c r="E17" s="100">
        <v>0</v>
      </c>
      <c r="F17" s="100">
        <v>0</v>
      </c>
      <c r="G17" s="100">
        <v>0</v>
      </c>
      <c r="H17" s="100">
        <v>0</v>
      </c>
      <c r="I17" s="100">
        <v>0</v>
      </c>
      <c r="J17" s="100">
        <v>0</v>
      </c>
      <c r="K17" s="100">
        <v>0</v>
      </c>
      <c r="L17" s="100">
        <v>0</v>
      </c>
      <c r="M17" s="100">
        <v>0</v>
      </c>
      <c r="N17" s="100">
        <v>632918</v>
      </c>
      <c r="O17" s="100">
        <v>515790</v>
      </c>
      <c r="P17" s="100">
        <v>1059556</v>
      </c>
      <c r="Q17" s="100">
        <v>1878738</v>
      </c>
      <c r="R17" s="100">
        <v>11799984</v>
      </c>
      <c r="S17" s="100">
        <v>11725112</v>
      </c>
      <c r="T17" s="100">
        <v>20667003</v>
      </c>
      <c r="U17" s="100">
        <v>21935830</v>
      </c>
      <c r="V17" s="100">
        <v>22963647</v>
      </c>
      <c r="W17" s="100">
        <v>23980108</v>
      </c>
      <c r="X17" s="100">
        <v>24610542</v>
      </c>
      <c r="Z17" s="83"/>
    </row>
    <row r="18" spans="2:26">
      <c r="B18" s="112" t="s">
        <v>144</v>
      </c>
      <c r="C18" s="113" t="s">
        <v>148</v>
      </c>
      <c r="D18" s="100">
        <f>'[1]Balance Sheet'!$E$85</f>
        <v>69842.53</v>
      </c>
      <c r="E18" s="100">
        <v>77617.739999999991</v>
      </c>
      <c r="F18" s="100">
        <v>88438.28</v>
      </c>
      <c r="G18" s="100">
        <v>99783.44</v>
      </c>
      <c r="H18" s="100">
        <v>111968.22</v>
      </c>
      <c r="I18" s="100">
        <v>75206.429999999993</v>
      </c>
      <c r="J18" s="100">
        <v>126469.07999999999</v>
      </c>
      <c r="K18" s="100">
        <v>177742.93</v>
      </c>
      <c r="L18" s="100">
        <v>226731.32</v>
      </c>
      <c r="M18" s="100">
        <v>268611.74</v>
      </c>
      <c r="N18" s="100">
        <v>321713.49</v>
      </c>
      <c r="O18" s="100">
        <v>379190.23000000004</v>
      </c>
      <c r="P18" s="100">
        <v>436042.27</v>
      </c>
      <c r="Q18" s="100">
        <v>493639.84999999963</v>
      </c>
      <c r="R18" s="100">
        <v>551924.59000000032</v>
      </c>
      <c r="S18" s="100">
        <v>639554</v>
      </c>
      <c r="T18" s="100">
        <v>706565.54999999958</v>
      </c>
      <c r="U18" s="100">
        <v>771830.91999999969</v>
      </c>
      <c r="V18" s="100">
        <v>846863.09000000032</v>
      </c>
      <c r="W18" s="100">
        <v>921946.9700000002</v>
      </c>
      <c r="X18" s="100">
        <v>972674.33999999973</v>
      </c>
      <c r="Z18" s="83"/>
    </row>
    <row r="19" spans="2:26" ht="5.5" customHeight="1">
      <c r="B19" s="75"/>
      <c r="C19" s="76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78"/>
      <c r="Z19" s="78"/>
    </row>
    <row r="20" spans="2:26">
      <c r="B20" s="117" t="s">
        <v>3</v>
      </c>
      <c r="C20" s="118" t="s">
        <v>149</v>
      </c>
      <c r="D20" s="120">
        <f t="shared" ref="D20" si="0">SUM(D10:D18)</f>
        <v>630018704.77999997</v>
      </c>
      <c r="E20" s="120">
        <v>632821640.55000019</v>
      </c>
      <c r="F20" s="120">
        <v>637807404.36000013</v>
      </c>
      <c r="G20" s="120">
        <v>644398981.92000008</v>
      </c>
      <c r="H20" s="120">
        <v>649825848.01000023</v>
      </c>
      <c r="I20" s="120">
        <v>654979791.01999986</v>
      </c>
      <c r="J20" s="120">
        <v>657270756.90000021</v>
      </c>
      <c r="K20" s="120">
        <v>663042715.92999995</v>
      </c>
      <c r="L20" s="120">
        <v>668197937.44999993</v>
      </c>
      <c r="M20" s="120">
        <v>672162679.61999989</v>
      </c>
      <c r="N20" s="120">
        <v>676019469.71000004</v>
      </c>
      <c r="O20" s="120">
        <v>672721095.33000016</v>
      </c>
      <c r="P20" s="120">
        <v>668944613.64999986</v>
      </c>
      <c r="Q20" s="120">
        <v>673959063.64000022</v>
      </c>
      <c r="R20" s="120">
        <v>689697406.10000002</v>
      </c>
      <c r="S20" s="120">
        <v>692848707.06999993</v>
      </c>
      <c r="T20" s="120">
        <v>705017147.38000011</v>
      </c>
      <c r="U20" s="120">
        <v>707916152.23000014</v>
      </c>
      <c r="V20" s="120">
        <v>716646318.65000021</v>
      </c>
      <c r="W20" s="120">
        <v>723711961.71000004</v>
      </c>
      <c r="X20" s="120">
        <v>729365998.55999982</v>
      </c>
      <c r="Y20" s="121"/>
      <c r="Z20" s="81"/>
    </row>
    <row r="21" spans="2:26" ht="5.5" customHeight="1">
      <c r="B21" s="75"/>
      <c r="C21" s="76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78"/>
      <c r="Z21" s="78"/>
    </row>
    <row r="22" spans="2:26">
      <c r="B22" s="75" t="s">
        <v>4</v>
      </c>
      <c r="C22" s="76" t="s">
        <v>150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Z22" s="78"/>
    </row>
    <row r="23" spans="2:26">
      <c r="B23" s="112" t="s">
        <v>5</v>
      </c>
      <c r="C23" s="113" t="s">
        <v>157</v>
      </c>
      <c r="D23" s="100">
        <f>'[1]Balance Sheet'!$E$100</f>
        <v>103990546.27</v>
      </c>
      <c r="E23" s="100">
        <v>93393497.819999993</v>
      </c>
      <c r="F23" s="100">
        <v>82154276.859999985</v>
      </c>
      <c r="G23" s="100">
        <v>86623326.689999998</v>
      </c>
      <c r="H23" s="100">
        <v>92192960.469999999</v>
      </c>
      <c r="I23" s="100">
        <v>105124281.61999997</v>
      </c>
      <c r="J23" s="100">
        <v>119768374.46000001</v>
      </c>
      <c r="K23" s="100">
        <v>121280198.77</v>
      </c>
      <c r="L23" s="100">
        <v>116738362.63999999</v>
      </c>
      <c r="M23" s="100">
        <v>117305313.50000001</v>
      </c>
      <c r="N23" s="100">
        <v>111095966.44</v>
      </c>
      <c r="O23" s="100">
        <v>117797229.57000001</v>
      </c>
      <c r="P23" s="100">
        <v>120865916.05</v>
      </c>
      <c r="Q23" s="100">
        <v>109308380.48</v>
      </c>
      <c r="R23" s="100">
        <v>114662252.97000001</v>
      </c>
      <c r="S23" s="100">
        <v>118213111.37000002</v>
      </c>
      <c r="T23" s="100">
        <v>114226633.84</v>
      </c>
      <c r="U23" s="100">
        <v>124267325.01999998</v>
      </c>
      <c r="V23" s="100">
        <v>111915217.45</v>
      </c>
      <c r="W23" s="100">
        <v>110067217.02999999</v>
      </c>
      <c r="X23" s="100">
        <v>97131638.070000008</v>
      </c>
      <c r="Z23" s="81"/>
    </row>
    <row r="24" spans="2:26">
      <c r="B24" s="112" t="s">
        <v>151</v>
      </c>
      <c r="C24" s="113" t="s">
        <v>158</v>
      </c>
      <c r="D24" s="100">
        <f>'[1]Balance Sheet'!$E$107</f>
        <v>1686539.6800000002</v>
      </c>
      <c r="E24" s="100">
        <v>1647639.5700000003</v>
      </c>
      <c r="F24" s="100">
        <v>1649493.6500000001</v>
      </c>
      <c r="G24" s="100">
        <v>1624582.2400000002</v>
      </c>
      <c r="H24" s="100">
        <v>1587755.1800000002</v>
      </c>
      <c r="I24" s="100">
        <v>1605567</v>
      </c>
      <c r="J24" s="100">
        <v>1589457.1800000002</v>
      </c>
      <c r="K24" s="100">
        <v>1582414.46</v>
      </c>
      <c r="L24" s="100">
        <v>1558089.5900000003</v>
      </c>
      <c r="M24" s="100">
        <v>1554813.67</v>
      </c>
      <c r="N24" s="100">
        <v>1635534.83</v>
      </c>
      <c r="O24" s="100">
        <v>1549690.1600000001</v>
      </c>
      <c r="P24" s="100">
        <v>1608266.03</v>
      </c>
      <c r="Q24" s="100">
        <v>1595899.2500000002</v>
      </c>
      <c r="R24" s="100">
        <v>1641427.3</v>
      </c>
      <c r="S24" s="100">
        <v>1567294.23</v>
      </c>
      <c r="T24" s="100">
        <v>1549781.71</v>
      </c>
      <c r="U24" s="100">
        <v>0</v>
      </c>
      <c r="V24" s="100">
        <v>0</v>
      </c>
      <c r="W24" s="100">
        <v>0</v>
      </c>
      <c r="X24" s="100">
        <v>0</v>
      </c>
      <c r="Z24" s="81"/>
    </row>
    <row r="25" spans="2:26">
      <c r="B25" s="112" t="s">
        <v>152</v>
      </c>
      <c r="C25" s="113" t="s">
        <v>159</v>
      </c>
      <c r="D25" s="100">
        <f>'[1]Balance Sheet'!$E$112</f>
        <v>38004342.670000002</v>
      </c>
      <c r="E25" s="100">
        <v>36994361.659999996</v>
      </c>
      <c r="F25" s="100">
        <v>42742000</v>
      </c>
      <c r="G25" s="100">
        <v>40295688.810000002</v>
      </c>
      <c r="H25" s="100">
        <v>33024122.48</v>
      </c>
      <c r="I25" s="100">
        <v>33983310.600000001</v>
      </c>
      <c r="J25" s="100">
        <v>22575724.009999998</v>
      </c>
      <c r="K25" s="100">
        <v>24237631.68</v>
      </c>
      <c r="L25" s="100">
        <v>22627978.18</v>
      </c>
      <c r="M25" s="100">
        <v>42555983.149999999</v>
      </c>
      <c r="N25" s="100">
        <v>47249916.909999996</v>
      </c>
      <c r="O25" s="100">
        <v>40191281.82</v>
      </c>
      <c r="P25" s="100">
        <v>32653696.02</v>
      </c>
      <c r="Q25" s="100">
        <v>30939392.359999999</v>
      </c>
      <c r="R25" s="100">
        <v>35908925.280000001</v>
      </c>
      <c r="S25" s="100">
        <v>23029587.640000001</v>
      </c>
      <c r="T25" s="100">
        <v>25934069.049999997</v>
      </c>
      <c r="U25" s="100">
        <v>39245294.019999996</v>
      </c>
      <c r="V25" s="100">
        <v>40441128.870000005</v>
      </c>
      <c r="W25" s="100">
        <v>31552758.410000004</v>
      </c>
      <c r="X25" s="100">
        <v>35602764.060000002</v>
      </c>
      <c r="Z25" s="81"/>
    </row>
    <row r="26" spans="2:26">
      <c r="B26" s="112" t="s">
        <v>153</v>
      </c>
      <c r="C26" s="113" t="s">
        <v>160</v>
      </c>
      <c r="D26" s="100">
        <f>'[1]Balance Sheet'!$E$148</f>
        <v>0</v>
      </c>
      <c r="E26" s="100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100">
        <v>0</v>
      </c>
      <c r="O26" s="100">
        <v>0</v>
      </c>
      <c r="P26" s="100">
        <v>0</v>
      </c>
      <c r="Q26" s="100">
        <v>0</v>
      </c>
      <c r="R26" s="100">
        <v>0</v>
      </c>
      <c r="S26" s="100">
        <v>0</v>
      </c>
      <c r="T26" s="100">
        <v>0</v>
      </c>
      <c r="U26" s="100">
        <v>0</v>
      </c>
      <c r="V26" s="100">
        <v>0</v>
      </c>
      <c r="W26" s="100">
        <v>0</v>
      </c>
      <c r="X26" s="100">
        <v>0</v>
      </c>
      <c r="Z26" s="83"/>
    </row>
    <row r="27" spans="2:26">
      <c r="B27" s="112" t="s">
        <v>154</v>
      </c>
      <c r="C27" s="113" t="s">
        <v>161</v>
      </c>
      <c r="D27" s="100">
        <f>'[1]Balance Sheet'!$E$150</f>
        <v>2525187.7000000002</v>
      </c>
      <c r="E27" s="100">
        <v>8194283.5899999999</v>
      </c>
      <c r="F27" s="100">
        <v>1286722.1099999999</v>
      </c>
      <c r="G27" s="100">
        <v>1340260.32</v>
      </c>
      <c r="H27" s="100">
        <v>2337084.9899999998</v>
      </c>
      <c r="I27" s="100">
        <v>6737623.6900000004</v>
      </c>
      <c r="J27" s="100">
        <v>338466.72</v>
      </c>
      <c r="K27" s="100">
        <v>3626554.76</v>
      </c>
      <c r="L27" s="100">
        <v>2342629.98</v>
      </c>
      <c r="M27" s="100">
        <v>3758568.29</v>
      </c>
      <c r="N27" s="100">
        <v>2648909.73</v>
      </c>
      <c r="O27" s="100">
        <v>745202.33000000007</v>
      </c>
      <c r="P27" s="100">
        <v>4397282.84</v>
      </c>
      <c r="Q27" s="100">
        <v>9160412.4600000009</v>
      </c>
      <c r="R27" s="100">
        <v>17056423.290000003</v>
      </c>
      <c r="S27" s="100">
        <v>7601198.8499999996</v>
      </c>
      <c r="T27" s="100">
        <v>8802086.9900000002</v>
      </c>
      <c r="U27" s="100">
        <v>8744362.1899999995</v>
      </c>
      <c r="V27" s="100">
        <v>11214208.280000001</v>
      </c>
      <c r="W27" s="100">
        <v>4362644.0100000007</v>
      </c>
      <c r="X27" s="100">
        <v>9205571.6099999994</v>
      </c>
      <c r="Z27" s="83"/>
    </row>
    <row r="28" spans="2:26">
      <c r="B28" s="112" t="s">
        <v>155</v>
      </c>
      <c r="C28" s="113" t="s">
        <v>162</v>
      </c>
      <c r="D28" s="100">
        <f>'[1]Balance Sheet'!$E$161</f>
        <v>6322878.9800000004</v>
      </c>
      <c r="E28" s="100">
        <v>4038230.7499999995</v>
      </c>
      <c r="F28" s="100">
        <v>6476194.7600000007</v>
      </c>
      <c r="G28" s="100">
        <v>2851669.1</v>
      </c>
      <c r="H28" s="100">
        <v>4145971.1200000006</v>
      </c>
      <c r="I28" s="100">
        <v>4983490.24</v>
      </c>
      <c r="J28" s="100">
        <v>6766412.3600000003</v>
      </c>
      <c r="K28" s="100">
        <v>2582489.5</v>
      </c>
      <c r="L28" s="100">
        <v>2716805.4000000004</v>
      </c>
      <c r="M28" s="100">
        <v>1827201.81</v>
      </c>
      <c r="N28" s="100">
        <v>2623828.1199999996</v>
      </c>
      <c r="O28" s="100">
        <v>2399883.67</v>
      </c>
      <c r="P28" s="100">
        <v>2728352.1399999997</v>
      </c>
      <c r="Q28" s="100">
        <v>1221324.95</v>
      </c>
      <c r="R28" s="100">
        <v>1907708.3900000001</v>
      </c>
      <c r="S28" s="100">
        <v>2590812.5300000003</v>
      </c>
      <c r="T28" s="100">
        <v>3582683.4399999995</v>
      </c>
      <c r="U28" s="100">
        <v>1045961.31</v>
      </c>
      <c r="V28" s="100">
        <v>1598276.51</v>
      </c>
      <c r="W28" s="100">
        <v>2406486.7700000005</v>
      </c>
      <c r="X28" s="100">
        <v>3631052.16</v>
      </c>
      <c r="Z28" s="83"/>
    </row>
    <row r="29" spans="2:26">
      <c r="B29" s="112" t="s">
        <v>156</v>
      </c>
      <c r="C29" s="113" t="s">
        <v>163</v>
      </c>
      <c r="D29" s="100">
        <f>'[1]Balance Sheet'!$E$184</f>
        <v>0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1357243</v>
      </c>
      <c r="Q29" s="100">
        <v>0</v>
      </c>
      <c r="R29" s="100">
        <v>0</v>
      </c>
      <c r="S29" s="100">
        <v>0</v>
      </c>
      <c r="T29" s="100">
        <v>0</v>
      </c>
      <c r="U29" s="100">
        <v>0</v>
      </c>
      <c r="V29" s="100">
        <v>0</v>
      </c>
      <c r="W29" s="100">
        <v>0</v>
      </c>
      <c r="X29" s="100">
        <v>0</v>
      </c>
      <c r="Z29" s="83"/>
    </row>
    <row r="30" spans="2:26" ht="5.5" customHeight="1">
      <c r="B30" s="91"/>
      <c r="C30" s="9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78"/>
      <c r="Z30" s="78"/>
    </row>
    <row r="31" spans="2:26">
      <c r="B31" s="117" t="s">
        <v>6</v>
      </c>
      <c r="C31" s="118" t="s">
        <v>164</v>
      </c>
      <c r="D31" s="120">
        <f t="shared" ref="D31" si="1">SUM(D23:D29)</f>
        <v>152529495.29999998</v>
      </c>
      <c r="E31" s="120">
        <v>144268013.38999999</v>
      </c>
      <c r="F31" s="120">
        <v>134308687.38</v>
      </c>
      <c r="G31" s="120">
        <v>132735527.15999998</v>
      </c>
      <c r="H31" s="120">
        <v>133287894.24000001</v>
      </c>
      <c r="I31" s="120">
        <v>152434273.14999998</v>
      </c>
      <c r="J31" s="120">
        <v>151038434.73000002</v>
      </c>
      <c r="K31" s="120">
        <v>153309289.16999999</v>
      </c>
      <c r="L31" s="120">
        <v>145983865.78999999</v>
      </c>
      <c r="M31" s="120">
        <v>167001880.42000002</v>
      </c>
      <c r="N31" s="120">
        <v>165254156.03</v>
      </c>
      <c r="O31" s="120">
        <v>162683287.55000001</v>
      </c>
      <c r="P31" s="120">
        <v>163610756.07999998</v>
      </c>
      <c r="Q31" s="120">
        <v>152225409.5</v>
      </c>
      <c r="R31" s="120">
        <v>171176737.22999999</v>
      </c>
      <c r="S31" s="120">
        <v>153002004.62</v>
      </c>
      <c r="T31" s="120">
        <v>154095255.03</v>
      </c>
      <c r="U31" s="120">
        <v>173302942.53999996</v>
      </c>
      <c r="V31" s="120">
        <v>165168831.10999998</v>
      </c>
      <c r="W31" s="120">
        <v>148389106.22</v>
      </c>
      <c r="X31" s="120">
        <v>145571025.90000001</v>
      </c>
      <c r="Y31" s="121"/>
      <c r="Z31" s="81"/>
    </row>
    <row r="32" spans="2:26" ht="5.5" customHeight="1" thickBot="1">
      <c r="B32" s="93"/>
      <c r="C32" s="9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78"/>
      <c r="Z32" s="78"/>
    </row>
    <row r="33" spans="2:26" ht="11" thickBot="1">
      <c r="B33" s="95" t="s">
        <v>7</v>
      </c>
      <c r="C33" s="96" t="s">
        <v>165</v>
      </c>
      <c r="D33" s="106">
        <f t="shared" ref="D33" si="2">D20+D31</f>
        <v>782548200.07999992</v>
      </c>
      <c r="E33" s="106">
        <v>777089653.94000018</v>
      </c>
      <c r="F33" s="106">
        <v>772116091.74000013</v>
      </c>
      <c r="G33" s="106">
        <v>777134509.08000004</v>
      </c>
      <c r="H33" s="106">
        <v>783113742.25000024</v>
      </c>
      <c r="I33" s="106">
        <v>807414064.16999984</v>
      </c>
      <c r="J33" s="106">
        <v>808309191.63000023</v>
      </c>
      <c r="K33" s="106">
        <v>816352005.0999999</v>
      </c>
      <c r="L33" s="106">
        <v>814181803.23999989</v>
      </c>
      <c r="M33" s="106">
        <v>839164560.03999996</v>
      </c>
      <c r="N33" s="106">
        <v>841273625.74000001</v>
      </c>
      <c r="O33" s="106">
        <v>835404382.88000011</v>
      </c>
      <c r="P33" s="106">
        <v>832555369.72999978</v>
      </c>
      <c r="Q33" s="106">
        <v>826184473.14000022</v>
      </c>
      <c r="R33" s="106">
        <v>860874143.33000004</v>
      </c>
      <c r="S33" s="106">
        <v>845850711.68999994</v>
      </c>
      <c r="T33" s="106">
        <v>859112402.41000009</v>
      </c>
      <c r="U33" s="106">
        <v>881219094.7700001</v>
      </c>
      <c r="V33" s="106">
        <v>881815149.76000023</v>
      </c>
      <c r="W33" s="106">
        <v>872101067.93000007</v>
      </c>
      <c r="X33" s="106">
        <v>874937024.4599998</v>
      </c>
      <c r="Y33" s="84"/>
      <c r="Z33" s="78"/>
    </row>
    <row r="34" spans="2:26" ht="5.5" customHeight="1">
      <c r="B34" s="75"/>
      <c r="C34" s="76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78"/>
      <c r="Z34" s="78"/>
    </row>
    <row r="35" spans="2:26">
      <c r="B35" s="75" t="s">
        <v>166</v>
      </c>
      <c r="C35" s="76" t="s">
        <v>170</v>
      </c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78"/>
      <c r="Z35" s="78"/>
    </row>
    <row r="36" spans="2:26" ht="5.5" customHeight="1">
      <c r="B36" s="75"/>
      <c r="C36" s="76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78"/>
      <c r="Z36" s="78"/>
    </row>
    <row r="37" spans="2:26">
      <c r="B37" s="75" t="s">
        <v>8</v>
      </c>
      <c r="C37" s="76" t="s">
        <v>169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Z37" s="78"/>
    </row>
    <row r="38" spans="2:26">
      <c r="B38" s="114" t="s">
        <v>171</v>
      </c>
      <c r="C38" s="115" t="s">
        <v>172</v>
      </c>
      <c r="D38" s="100">
        <f>'[1]Balance Sheet'!$E$199</f>
        <v>1717284000</v>
      </c>
      <c r="E38" s="100">
        <v>1717284000</v>
      </c>
      <c r="F38" s="100">
        <v>1717284000</v>
      </c>
      <c r="G38" s="100">
        <v>1717284000</v>
      </c>
      <c r="H38" s="100">
        <v>1717284000</v>
      </c>
      <c r="I38" s="100">
        <v>1717284000</v>
      </c>
      <c r="J38" s="100">
        <v>1717284000</v>
      </c>
      <c r="K38" s="100">
        <v>1717284000</v>
      </c>
      <c r="L38" s="100">
        <v>1717284000</v>
      </c>
      <c r="M38" s="100">
        <v>1717284000</v>
      </c>
      <c r="N38" s="100">
        <v>1717284000</v>
      </c>
      <c r="O38" s="100">
        <v>1717284000</v>
      </c>
      <c r="P38" s="100">
        <v>1717284000</v>
      </c>
      <c r="Q38" s="100">
        <v>1717284000</v>
      </c>
      <c r="R38" s="100">
        <v>1717284000</v>
      </c>
      <c r="S38" s="100">
        <v>1717284000</v>
      </c>
      <c r="T38" s="100">
        <v>1717284000</v>
      </c>
      <c r="U38" s="100">
        <v>1717284000</v>
      </c>
      <c r="V38" s="100">
        <v>1717284000</v>
      </c>
      <c r="W38" s="100">
        <v>1717284000</v>
      </c>
      <c r="X38" s="100">
        <v>1717284000</v>
      </c>
      <c r="Z38" s="85"/>
    </row>
    <row r="39" spans="2:26">
      <c r="B39" s="114" t="s">
        <v>173</v>
      </c>
      <c r="C39" s="115" t="s">
        <v>174</v>
      </c>
      <c r="D39" s="100">
        <f>'[1]Balance Sheet'!$E$201</f>
        <v>57130617.440000057</v>
      </c>
      <c r="E39" s="100">
        <v>57130617.440000057</v>
      </c>
      <c r="F39" s="100">
        <v>57130617.440000057</v>
      </c>
      <c r="G39" s="100">
        <v>57130617.440000057</v>
      </c>
      <c r="H39" s="100">
        <v>57130617.440000057</v>
      </c>
      <c r="I39" s="100">
        <v>57130617.440000057</v>
      </c>
      <c r="J39" s="100">
        <v>57130617.440000057</v>
      </c>
      <c r="K39" s="100">
        <v>57130617.440000057</v>
      </c>
      <c r="L39" s="100">
        <v>57130617.440000057</v>
      </c>
      <c r="M39" s="100">
        <v>57130617.440000057</v>
      </c>
      <c r="N39" s="100">
        <v>57130617.440000057</v>
      </c>
      <c r="O39" s="100">
        <v>57130617.440000057</v>
      </c>
      <c r="P39" s="100">
        <v>57130617.440000057</v>
      </c>
      <c r="Q39" s="100">
        <v>57130617.440000057</v>
      </c>
      <c r="R39" s="100">
        <v>57130617.440000057</v>
      </c>
      <c r="S39" s="100">
        <v>57130617.440000057</v>
      </c>
      <c r="T39" s="100">
        <v>57130617.440000057</v>
      </c>
      <c r="U39" s="100">
        <v>57130617.440000057</v>
      </c>
      <c r="V39" s="100">
        <v>57130617.440000057</v>
      </c>
      <c r="W39" s="100">
        <v>57130617.440000057</v>
      </c>
      <c r="X39" s="100">
        <v>57130617.440000057</v>
      </c>
      <c r="Z39" s="85"/>
    </row>
    <row r="40" spans="2:26">
      <c r="B40" s="114" t="s">
        <v>9</v>
      </c>
      <c r="C40" s="115" t="s">
        <v>175</v>
      </c>
      <c r="D40" s="100">
        <f>'[1]Balance Sheet'!$E$202</f>
        <v>260775667.41999999</v>
      </c>
      <c r="E40" s="100">
        <v>260775667.41999999</v>
      </c>
      <c r="F40" s="100">
        <v>260775667.41999999</v>
      </c>
      <c r="G40" s="100">
        <v>260775667.41999999</v>
      </c>
      <c r="H40" s="100">
        <v>260775667.41999999</v>
      </c>
      <c r="I40" s="100">
        <v>260775667.41999999</v>
      </c>
      <c r="J40" s="100">
        <v>260775667.41999999</v>
      </c>
      <c r="K40" s="100">
        <v>260775667.41999999</v>
      </c>
      <c r="L40" s="100">
        <v>260775667.41999999</v>
      </c>
      <c r="M40" s="100">
        <v>260775667.41999999</v>
      </c>
      <c r="N40" s="100">
        <v>260775667.41999999</v>
      </c>
      <c r="O40" s="100">
        <v>260775667.41999999</v>
      </c>
      <c r="P40" s="100">
        <v>260775667.41999999</v>
      </c>
      <c r="Q40" s="100">
        <v>260775667.41999999</v>
      </c>
      <c r="R40" s="100">
        <v>260775667.41999999</v>
      </c>
      <c r="S40" s="100">
        <v>260775667.41999999</v>
      </c>
      <c r="T40" s="100">
        <v>260775667.41999999</v>
      </c>
      <c r="U40" s="100">
        <v>260775667.41999999</v>
      </c>
      <c r="V40" s="100">
        <v>260775667.41999999</v>
      </c>
      <c r="W40" s="100">
        <v>260775667.41999999</v>
      </c>
      <c r="X40" s="100">
        <v>260775667.41999999</v>
      </c>
      <c r="Z40" s="85"/>
    </row>
    <row r="41" spans="2:26">
      <c r="B41" s="114" t="s">
        <v>10</v>
      </c>
      <c r="C41" s="115" t="s">
        <v>176</v>
      </c>
      <c r="D41" s="100">
        <f>'[1]Balance Sheet'!$E$212</f>
        <v>-268623123.10999995</v>
      </c>
      <c r="E41" s="100">
        <v>-268623123.10999995</v>
      </c>
      <c r="F41" s="100">
        <v>-268747647.56999999</v>
      </c>
      <c r="G41" s="100">
        <v>-268747647.56999999</v>
      </c>
      <c r="H41" s="100">
        <v>-268747647.56999999</v>
      </c>
      <c r="I41" s="100">
        <v>-268747647.56999999</v>
      </c>
      <c r="J41" s="100">
        <v>-268516984.22999996</v>
      </c>
      <c r="K41" s="100">
        <v>-268516984.22999996</v>
      </c>
      <c r="L41" s="100">
        <v>-268516984.22999996</v>
      </c>
      <c r="M41" s="100">
        <v>-268516984.22999996</v>
      </c>
      <c r="N41" s="100">
        <v>-268207442.18999997</v>
      </c>
      <c r="O41" s="100">
        <v>-268207442.18999997</v>
      </c>
      <c r="P41" s="100">
        <v>-268207442.18999997</v>
      </c>
      <c r="Q41" s="100">
        <v>-268207442.18999997</v>
      </c>
      <c r="R41" s="100">
        <v>-268357942.37999997</v>
      </c>
      <c r="S41" s="100">
        <v>-268357942.37999997</v>
      </c>
      <c r="T41" s="100">
        <v>-268357942.37999997</v>
      </c>
      <c r="U41" s="100">
        <v>-268357942.37999997</v>
      </c>
      <c r="V41" s="100">
        <v>-268491651.88999999</v>
      </c>
      <c r="W41" s="100">
        <v>-268491651.88999999</v>
      </c>
      <c r="X41" s="100">
        <v>-268491651.88999999</v>
      </c>
      <c r="Z41" s="85"/>
    </row>
    <row r="42" spans="2:26">
      <c r="B42" s="114" t="s">
        <v>177</v>
      </c>
      <c r="C42" s="115" t="s">
        <v>178</v>
      </c>
      <c r="D42" s="100">
        <f>'[1]Balance Sheet'!$E$214</f>
        <v>0</v>
      </c>
      <c r="E42" s="100">
        <v>0</v>
      </c>
      <c r="F42" s="100">
        <v>0</v>
      </c>
      <c r="G42" s="100">
        <v>0</v>
      </c>
      <c r="H42" s="100">
        <v>0</v>
      </c>
      <c r="I42" s="100">
        <v>0</v>
      </c>
      <c r="J42" s="100">
        <v>0</v>
      </c>
      <c r="K42" s="100">
        <v>0</v>
      </c>
      <c r="L42" s="100">
        <v>0</v>
      </c>
      <c r="M42" s="100">
        <v>0</v>
      </c>
      <c r="N42" s="100">
        <v>0</v>
      </c>
      <c r="O42" s="100">
        <v>0</v>
      </c>
      <c r="P42" s="100">
        <v>0</v>
      </c>
      <c r="Q42" s="100">
        <v>0</v>
      </c>
      <c r="R42" s="100">
        <v>0</v>
      </c>
      <c r="S42" s="100">
        <v>0</v>
      </c>
      <c r="T42" s="100">
        <v>0</v>
      </c>
      <c r="U42" s="100">
        <v>0</v>
      </c>
      <c r="V42" s="100">
        <v>0</v>
      </c>
      <c r="W42" s="100">
        <v>0</v>
      </c>
      <c r="X42" s="100">
        <v>0</v>
      </c>
      <c r="Z42" s="85"/>
    </row>
    <row r="43" spans="2:26">
      <c r="B43" s="114" t="s">
        <v>179</v>
      </c>
      <c r="C43" s="115" t="s">
        <v>180</v>
      </c>
      <c r="D43" s="100">
        <f>'[1]Balance Sheet'!$E$215</f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0">
        <v>0</v>
      </c>
      <c r="R43" s="100">
        <v>0</v>
      </c>
      <c r="S43" s="100">
        <v>0</v>
      </c>
      <c r="T43" s="100">
        <v>0</v>
      </c>
      <c r="U43" s="100">
        <v>0</v>
      </c>
      <c r="V43" s="100">
        <v>0</v>
      </c>
      <c r="W43" s="100">
        <v>0</v>
      </c>
      <c r="X43" s="100">
        <v>0</v>
      </c>
      <c r="Z43" s="85"/>
    </row>
    <row r="44" spans="2:26">
      <c r="B44" s="112" t="s">
        <v>11</v>
      </c>
      <c r="C44" s="113" t="s">
        <v>181</v>
      </c>
      <c r="D44" s="108">
        <f>'[1]Balance Sheet'!$E$231</f>
        <v>-1167172303.4200001</v>
      </c>
      <c r="E44" s="108">
        <v>-1161603416.7300003</v>
      </c>
      <c r="F44" s="108">
        <v>-1163751000</v>
      </c>
      <c r="G44" s="108">
        <v>-1166038989.7300003</v>
      </c>
      <c r="H44" s="108">
        <v>-1168558501.6900001</v>
      </c>
      <c r="I44" s="108">
        <v>-1163055878.0899999</v>
      </c>
      <c r="J44" s="108">
        <v>-1156914872.48</v>
      </c>
      <c r="K44" s="108">
        <v>-1152767718.7</v>
      </c>
      <c r="L44" s="108">
        <v>-1149233155.3399999</v>
      </c>
      <c r="M44" s="108">
        <v>-1144577327.99</v>
      </c>
      <c r="N44" s="108">
        <v>-1147985121.0999999</v>
      </c>
      <c r="O44" s="108">
        <v>-1142974388.78</v>
      </c>
      <c r="P44" s="108">
        <v>-1144081908.71</v>
      </c>
      <c r="Q44" s="108">
        <v>-1143847843.04</v>
      </c>
      <c r="R44" s="108">
        <v>-1139715027.1400001</v>
      </c>
      <c r="S44" s="108">
        <v>-1137900679.45</v>
      </c>
      <c r="T44" s="108">
        <v>-1130390778.6700001</v>
      </c>
      <c r="U44" s="108">
        <v>-1127549962.73</v>
      </c>
      <c r="V44" s="108">
        <v>-1127085240.51</v>
      </c>
      <c r="W44" s="108">
        <v>-1131386191.95</v>
      </c>
      <c r="X44" s="108">
        <v>-1135084104.26</v>
      </c>
      <c r="Y44" s="86"/>
      <c r="Z44" s="82"/>
    </row>
    <row r="45" spans="2:26" ht="5.5" customHeight="1">
      <c r="B45" s="91"/>
      <c r="C45" s="9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78"/>
      <c r="Z45" s="78"/>
    </row>
    <row r="46" spans="2:26">
      <c r="B46" s="117" t="s">
        <v>183</v>
      </c>
      <c r="C46" s="118" t="s">
        <v>182</v>
      </c>
      <c r="D46" s="119">
        <f t="shared" ref="D46" si="3">SUM(D38:D44)</f>
        <v>599394858.33000016</v>
      </c>
      <c r="E46" s="119">
        <v>604963745.01999998</v>
      </c>
      <c r="F46" s="119">
        <v>602691637.2900002</v>
      </c>
      <c r="G46" s="119">
        <v>600403647.55999994</v>
      </c>
      <c r="H46" s="119">
        <v>597884135.60000014</v>
      </c>
      <c r="I46" s="119">
        <v>603386759.20000029</v>
      </c>
      <c r="J46" s="119">
        <v>609758428.1500001</v>
      </c>
      <c r="K46" s="119">
        <v>613905581.93000007</v>
      </c>
      <c r="L46" s="119">
        <v>617440145.2900002</v>
      </c>
      <c r="M46" s="119">
        <v>622095972.6400001</v>
      </c>
      <c r="N46" s="119">
        <v>618997721.57000017</v>
      </c>
      <c r="O46" s="119">
        <v>624008453.8900001</v>
      </c>
      <c r="P46" s="119">
        <v>622900933.96000004</v>
      </c>
      <c r="Q46" s="119">
        <v>623134999.63000011</v>
      </c>
      <c r="R46" s="119">
        <v>627117315.34000015</v>
      </c>
      <c r="S46" s="119">
        <v>628931663.03000021</v>
      </c>
      <c r="T46" s="119">
        <v>636441563.81000018</v>
      </c>
      <c r="U46" s="119">
        <v>639282379.75000024</v>
      </c>
      <c r="V46" s="119">
        <v>639613392.46000028</v>
      </c>
      <c r="W46" s="119">
        <v>635312441.02000022</v>
      </c>
      <c r="X46" s="119">
        <v>631614528.71000028</v>
      </c>
      <c r="Y46" s="121"/>
      <c r="Z46" s="81"/>
    </row>
    <row r="47" spans="2:26" ht="5.5" customHeight="1">
      <c r="B47" s="93"/>
      <c r="C47" s="9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78"/>
      <c r="Z47" s="78"/>
    </row>
    <row r="48" spans="2:26">
      <c r="B48" s="75" t="s">
        <v>12</v>
      </c>
      <c r="C48" s="76" t="s">
        <v>184</v>
      </c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87"/>
      <c r="Z48" s="78"/>
    </row>
    <row r="49" spans="2:26" ht="21">
      <c r="B49" s="112" t="s">
        <v>185</v>
      </c>
      <c r="C49" s="116" t="s">
        <v>186</v>
      </c>
      <c r="D49" s="100">
        <f>'[1]Balance Sheet'!$E$405</f>
        <v>6590909.0499999998</v>
      </c>
      <c r="E49" s="100">
        <v>7272727.2400000002</v>
      </c>
      <c r="F49" s="100">
        <v>6363636.3799999999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425532.14</v>
      </c>
      <c r="M49" s="100">
        <v>1702127.87</v>
      </c>
      <c r="N49" s="100">
        <v>2978723.6</v>
      </c>
      <c r="O49" s="100">
        <v>4255319.33</v>
      </c>
      <c r="P49" s="100">
        <v>5531915.0599999996</v>
      </c>
      <c r="Q49" s="100">
        <v>6808510.79</v>
      </c>
      <c r="R49" s="100">
        <v>8085106.5199999996</v>
      </c>
      <c r="S49" s="100">
        <v>9361702.25</v>
      </c>
      <c r="T49" s="100">
        <v>10638297.98</v>
      </c>
      <c r="U49" s="100">
        <v>16071773.290450001</v>
      </c>
      <c r="V49" s="100">
        <v>21490251.459999997</v>
      </c>
      <c r="W49" s="100">
        <v>26630573.490000002</v>
      </c>
      <c r="X49" s="100">
        <v>27854414.540000003</v>
      </c>
      <c r="Z49" s="81"/>
    </row>
    <row r="50" spans="2:26">
      <c r="B50" s="112" t="s">
        <v>337</v>
      </c>
      <c r="C50" s="113" t="s">
        <v>338</v>
      </c>
      <c r="D50" s="100">
        <f>'[1]Balance Sheet'!$E$407</f>
        <v>0</v>
      </c>
      <c r="E50" s="100">
        <v>0</v>
      </c>
      <c r="F50" s="100">
        <v>0</v>
      </c>
      <c r="G50" s="100">
        <v>0</v>
      </c>
      <c r="H50" s="100">
        <v>0</v>
      </c>
      <c r="I50" s="100">
        <v>0</v>
      </c>
      <c r="J50" s="100">
        <v>0</v>
      </c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>
        <v>11410500</v>
      </c>
      <c r="W50" s="100">
        <v>11410500</v>
      </c>
      <c r="X50" s="100">
        <v>0</v>
      </c>
      <c r="Z50" s="81"/>
    </row>
    <row r="51" spans="2:26">
      <c r="B51" s="112" t="s">
        <v>326</v>
      </c>
      <c r="C51" s="113" t="s">
        <v>327</v>
      </c>
      <c r="D51" s="100">
        <f>'[1]Balance Sheet'!$E$408</f>
        <v>14116613.41</v>
      </c>
      <c r="E51" s="100">
        <v>12867263.5</v>
      </c>
      <c r="F51" s="100">
        <v>12606916.970000001</v>
      </c>
      <c r="G51" s="100">
        <v>12815811.699999999</v>
      </c>
      <c r="H51" s="100">
        <v>12854027.279999999</v>
      </c>
      <c r="I51" s="100">
        <v>13698123.359999999</v>
      </c>
      <c r="J51" s="100">
        <v>8728150.6199999992</v>
      </c>
      <c r="K51" s="100">
        <v>9456352.9600000009</v>
      </c>
      <c r="L51" s="100">
        <v>10519767.529999999</v>
      </c>
      <c r="M51" s="100">
        <v>10969308.550000001</v>
      </c>
      <c r="N51" s="100">
        <v>11857153.119999999</v>
      </c>
      <c r="O51" s="100">
        <v>10729515.74</v>
      </c>
      <c r="P51" s="100">
        <v>11622337.789999999</v>
      </c>
      <c r="Q51" s="100">
        <v>11670153.25</v>
      </c>
      <c r="R51" s="100">
        <v>12132278.449999999</v>
      </c>
      <c r="S51" s="100">
        <v>12344760.609999999</v>
      </c>
      <c r="T51" s="100">
        <v>12593134.09</v>
      </c>
      <c r="U51" s="100">
        <v>13048703.439550001</v>
      </c>
      <c r="V51" s="100">
        <v>13411489.470000001</v>
      </c>
      <c r="W51" s="100">
        <v>13683834.710000001</v>
      </c>
      <c r="X51" s="100">
        <v>6840009.3700000001</v>
      </c>
      <c r="Z51" s="81"/>
    </row>
    <row r="52" spans="2:26">
      <c r="B52" s="112" t="s">
        <v>187</v>
      </c>
      <c r="C52" s="113" t="s">
        <v>188</v>
      </c>
      <c r="D52" s="100">
        <f>'[1]Balance Sheet'!$E$409</f>
        <v>1234397.58</v>
      </c>
      <c r="E52" s="100">
        <v>0</v>
      </c>
      <c r="F52" s="100">
        <v>1481277.09</v>
      </c>
      <c r="G52" s="100">
        <v>1571051.45</v>
      </c>
      <c r="H52" s="100" t="s">
        <v>342</v>
      </c>
      <c r="I52" s="100">
        <v>0</v>
      </c>
      <c r="J52" s="100">
        <v>0</v>
      </c>
      <c r="K52" s="100">
        <v>0</v>
      </c>
      <c r="L52" s="100">
        <v>1255017.81</v>
      </c>
      <c r="M52" s="100" t="s">
        <v>342</v>
      </c>
      <c r="N52" s="100">
        <v>0</v>
      </c>
      <c r="O52" s="100">
        <v>0</v>
      </c>
      <c r="P52" s="100">
        <v>0</v>
      </c>
      <c r="Q52" s="100">
        <v>0</v>
      </c>
      <c r="R52" s="100">
        <v>0</v>
      </c>
      <c r="S52" s="100">
        <v>0</v>
      </c>
      <c r="T52" s="100">
        <v>0</v>
      </c>
      <c r="U52" s="100">
        <v>0</v>
      </c>
      <c r="V52" s="100">
        <v>0</v>
      </c>
      <c r="W52" s="100">
        <v>0</v>
      </c>
      <c r="X52" s="100">
        <v>0</v>
      </c>
      <c r="Z52" s="88"/>
    </row>
    <row r="53" spans="2:26" hidden="1">
      <c r="B53" s="112" t="s">
        <v>13</v>
      </c>
      <c r="C53" s="113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Z53" s="81"/>
    </row>
    <row r="54" spans="2:26">
      <c r="B54" s="112" t="s">
        <v>189</v>
      </c>
      <c r="C54" s="113" t="s">
        <v>190</v>
      </c>
      <c r="D54" s="100">
        <f>'[1]Balance Sheet'!$E$435</f>
        <v>2393783.1800000002</v>
      </c>
      <c r="E54" s="100">
        <v>2393783.1800000002</v>
      </c>
      <c r="F54" s="100">
        <v>2308103.61</v>
      </c>
      <c r="G54" s="100">
        <v>2308103.61</v>
      </c>
      <c r="H54" s="100">
        <v>2308103.61</v>
      </c>
      <c r="I54" s="100">
        <v>2308103.61</v>
      </c>
      <c r="J54" s="100">
        <v>1837930.11</v>
      </c>
      <c r="K54" s="100">
        <v>1837930.11</v>
      </c>
      <c r="L54" s="100">
        <v>1837930.11</v>
      </c>
      <c r="M54" s="100">
        <v>1837930.11</v>
      </c>
      <c r="N54" s="100">
        <v>1320374.02</v>
      </c>
      <c r="O54" s="100">
        <v>1320374.02</v>
      </c>
      <c r="P54" s="100">
        <v>1320374.02</v>
      </c>
      <c r="Q54" s="100">
        <v>1320374.02</v>
      </c>
      <c r="R54" s="100">
        <v>1335954.52</v>
      </c>
      <c r="S54" s="100">
        <v>1335954.52</v>
      </c>
      <c r="T54" s="100">
        <v>1335954.52</v>
      </c>
      <c r="U54" s="100">
        <v>1335954.52</v>
      </c>
      <c r="V54" s="100">
        <v>1565720.37</v>
      </c>
      <c r="W54" s="100">
        <v>1565720.37</v>
      </c>
      <c r="X54" s="100">
        <v>1565720.37</v>
      </c>
      <c r="Z54" s="89"/>
    </row>
    <row r="55" spans="2:26">
      <c r="B55" s="112" t="s">
        <v>191</v>
      </c>
      <c r="C55" s="113" t="s">
        <v>192</v>
      </c>
      <c r="D55" s="100">
        <f>'[1]Balance Sheet'!$E$436</f>
        <v>30273259.629999999</v>
      </c>
      <c r="E55" s="100">
        <v>30942770.310000002</v>
      </c>
      <c r="F55" s="100">
        <v>31674461.919999994</v>
      </c>
      <c r="G55" s="100">
        <v>32406990.859999999</v>
      </c>
      <c r="H55" s="100">
        <v>33139519.769999996</v>
      </c>
      <c r="I55" s="100">
        <v>33876718.400000006</v>
      </c>
      <c r="J55" s="100">
        <v>34609247.240000002</v>
      </c>
      <c r="K55" s="100">
        <v>35341881.710000001</v>
      </c>
      <c r="L55" s="100">
        <v>29080708.960000001</v>
      </c>
      <c r="M55" s="100">
        <v>29813475.060000002</v>
      </c>
      <c r="N55" s="100">
        <v>30546241.18</v>
      </c>
      <c r="O55" s="100">
        <v>31279007.210000001</v>
      </c>
      <c r="P55" s="100">
        <v>32012081.329999998</v>
      </c>
      <c r="Q55" s="100">
        <v>32745359.689999998</v>
      </c>
      <c r="R55" s="100">
        <v>33478692.32</v>
      </c>
      <c r="S55" s="100">
        <v>34212052.030000001</v>
      </c>
      <c r="T55" s="100">
        <v>34945504.25</v>
      </c>
      <c r="U55" s="100">
        <v>36256839.509999998</v>
      </c>
      <c r="V55" s="100">
        <v>36990338.119999997</v>
      </c>
      <c r="W55" s="100">
        <v>37723836.670000002</v>
      </c>
      <c r="X55" s="100">
        <v>38457335.170000002</v>
      </c>
      <c r="Z55" s="89"/>
    </row>
    <row r="56" spans="2:26">
      <c r="B56" s="112" t="s">
        <v>333</v>
      </c>
      <c r="C56" s="113" t="s">
        <v>334</v>
      </c>
      <c r="D56" s="100">
        <f>'[1]Balance Sheet'!$E$437</f>
        <v>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0">
        <v>0</v>
      </c>
      <c r="M56" s="100">
        <v>4598669</v>
      </c>
      <c r="N56" s="100">
        <v>0</v>
      </c>
      <c r="O56" s="100">
        <v>0</v>
      </c>
      <c r="P56" s="100"/>
      <c r="Q56" s="100">
        <v>0</v>
      </c>
      <c r="R56" s="100">
        <v>0</v>
      </c>
      <c r="S56" s="100"/>
      <c r="T56" s="100">
        <v>0</v>
      </c>
      <c r="U56" s="100">
        <v>0</v>
      </c>
      <c r="V56" s="100">
        <v>0</v>
      </c>
      <c r="W56" s="100"/>
      <c r="X56" s="100">
        <v>0</v>
      </c>
      <c r="Z56" s="89"/>
    </row>
    <row r="57" spans="2:26">
      <c r="B57" s="112" t="s">
        <v>193</v>
      </c>
      <c r="C57" s="113" t="s">
        <v>194</v>
      </c>
      <c r="D57" s="100">
        <f>'[1]Balance Sheet'!$E$439</f>
        <v>12400897</v>
      </c>
      <c r="E57" s="100">
        <v>12481233</v>
      </c>
      <c r="F57" s="100">
        <v>11202000</v>
      </c>
      <c r="G57" s="100">
        <v>9795450</v>
      </c>
      <c r="H57" s="100">
        <v>8108686</v>
      </c>
      <c r="I57" s="100">
        <v>8575269</v>
      </c>
      <c r="J57" s="100">
        <v>3641708</v>
      </c>
      <c r="K57" s="100">
        <v>3956943</v>
      </c>
      <c r="L57" s="100">
        <v>4110983</v>
      </c>
      <c r="M57" s="100">
        <v>0</v>
      </c>
      <c r="N57" s="100">
        <v>0</v>
      </c>
      <c r="O57" s="100">
        <v>0</v>
      </c>
      <c r="P57" s="100">
        <v>0</v>
      </c>
      <c r="Q57" s="100">
        <v>0</v>
      </c>
      <c r="R57" s="100">
        <v>0</v>
      </c>
      <c r="S57" s="100">
        <v>0</v>
      </c>
      <c r="T57" s="100">
        <v>0</v>
      </c>
      <c r="U57" s="100">
        <v>0</v>
      </c>
      <c r="V57" s="100">
        <v>0</v>
      </c>
      <c r="W57" s="100">
        <v>0</v>
      </c>
      <c r="X57" s="100">
        <v>0</v>
      </c>
      <c r="Z57" s="89"/>
    </row>
    <row r="58" spans="2:26">
      <c r="B58" s="112" t="s">
        <v>195</v>
      </c>
      <c r="C58" s="113" t="s">
        <v>196</v>
      </c>
      <c r="D58" s="100">
        <f>'[1]Balance Sheet'!$E$438</f>
        <v>0</v>
      </c>
      <c r="E58" s="100">
        <v>1371552.87</v>
      </c>
      <c r="F58" s="100">
        <v>0</v>
      </c>
      <c r="G58" s="100">
        <v>0</v>
      </c>
      <c r="H58" s="100">
        <v>2431383</v>
      </c>
      <c r="I58" s="100">
        <v>2524898.23</v>
      </c>
      <c r="J58" s="100">
        <v>2605054.2999999998</v>
      </c>
      <c r="K58" s="100">
        <v>2674522.9</v>
      </c>
      <c r="L58" s="100">
        <v>0</v>
      </c>
      <c r="M58" s="100">
        <v>1394464</v>
      </c>
      <c r="N58" s="100">
        <v>10342233.59</v>
      </c>
      <c r="O58" s="100">
        <v>10342233.59</v>
      </c>
      <c r="P58" s="100">
        <v>10342233.59</v>
      </c>
      <c r="Q58" s="100">
        <v>10342233.59</v>
      </c>
      <c r="R58" s="100">
        <v>10342233.59</v>
      </c>
      <c r="S58" s="100">
        <v>10342233.59</v>
      </c>
      <c r="T58" s="100">
        <v>10342233.59</v>
      </c>
      <c r="U58" s="100">
        <v>10342233.59</v>
      </c>
      <c r="V58" s="100">
        <v>10342233.59</v>
      </c>
      <c r="W58" s="100">
        <v>10342233.59</v>
      </c>
      <c r="X58" s="100">
        <v>10342233.59</v>
      </c>
      <c r="Z58" s="81"/>
    </row>
    <row r="59" spans="2:26" ht="5.5" customHeight="1">
      <c r="B59" s="91"/>
      <c r="C59" s="9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78"/>
      <c r="Z59" s="78"/>
    </row>
    <row r="60" spans="2:26">
      <c r="B60" s="117" t="s">
        <v>14</v>
      </c>
      <c r="C60" s="118" t="s">
        <v>197</v>
      </c>
      <c r="D60" s="119">
        <f t="shared" ref="D60" si="4">SUM(D49:D58)</f>
        <v>67009859.849999994</v>
      </c>
      <c r="E60" s="119">
        <v>67329330.100000009</v>
      </c>
      <c r="F60" s="119">
        <v>65636395.969999999</v>
      </c>
      <c r="G60" s="119">
        <v>58897407.619999997</v>
      </c>
      <c r="H60" s="119">
        <v>58841719.659999996</v>
      </c>
      <c r="I60" s="119">
        <v>60983112.600000001</v>
      </c>
      <c r="J60" s="119">
        <v>51422090.269999996</v>
      </c>
      <c r="K60" s="119">
        <v>53267630.68</v>
      </c>
      <c r="L60" s="119">
        <v>47229939.549999997</v>
      </c>
      <c r="M60" s="119">
        <v>50315974.590000004</v>
      </c>
      <c r="N60" s="119">
        <v>57044725.510000005</v>
      </c>
      <c r="O60" s="119">
        <v>57926449.890000001</v>
      </c>
      <c r="P60" s="119">
        <v>60828941.789999992</v>
      </c>
      <c r="Q60" s="119">
        <v>62886631.340000004</v>
      </c>
      <c r="R60" s="119">
        <v>65374265.400000006</v>
      </c>
      <c r="S60" s="119">
        <v>67596703</v>
      </c>
      <c r="T60" s="119">
        <v>69855124.430000007</v>
      </c>
      <c r="U60" s="119">
        <v>77055504.350000009</v>
      </c>
      <c r="V60" s="119">
        <v>95210533.00999999</v>
      </c>
      <c r="W60" s="119">
        <v>101356698.83000001</v>
      </c>
      <c r="X60" s="119">
        <v>85059713.040000007</v>
      </c>
      <c r="Y60" s="121"/>
      <c r="Z60" s="81"/>
    </row>
    <row r="61" spans="2:26" ht="5.5" customHeight="1">
      <c r="B61" s="93"/>
      <c r="C61" s="9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78"/>
      <c r="Z61" s="78"/>
    </row>
    <row r="62" spans="2:26">
      <c r="B62" s="75" t="s">
        <v>15</v>
      </c>
      <c r="C62" s="76" t="s">
        <v>198</v>
      </c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86"/>
      <c r="Z62" s="78"/>
    </row>
    <row r="63" spans="2:26">
      <c r="B63" s="112" t="s">
        <v>199</v>
      </c>
      <c r="C63" s="113" t="s">
        <v>200</v>
      </c>
      <c r="D63" s="100">
        <f>'[1]Balance Sheet'!$E$444</f>
        <v>29674052.079999998</v>
      </c>
      <c r="E63" s="100">
        <v>29331426.43</v>
      </c>
      <c r="F63" s="100">
        <v>17679990.620000001</v>
      </c>
      <c r="G63" s="100">
        <v>26309734.399999999</v>
      </c>
      <c r="H63" s="100">
        <v>28953967.280000001</v>
      </c>
      <c r="I63" s="100">
        <v>30546316.240000002</v>
      </c>
      <c r="J63" s="100">
        <v>31882074.490000002</v>
      </c>
      <c r="K63" s="100">
        <v>33370884.039999999</v>
      </c>
      <c r="L63" s="100">
        <v>35204465.989999995</v>
      </c>
      <c r="M63" s="100">
        <v>38167742.880000003</v>
      </c>
      <c r="N63" s="100">
        <v>39599297.170000002</v>
      </c>
      <c r="O63" s="100">
        <v>38968941.549999997</v>
      </c>
      <c r="P63" s="100">
        <v>34339626</v>
      </c>
      <c r="Q63" s="100">
        <v>29164467.629999999</v>
      </c>
      <c r="R63" s="100">
        <v>27731008.939999998</v>
      </c>
      <c r="S63" s="100">
        <v>19545862.739999998</v>
      </c>
      <c r="T63" s="100">
        <v>19649221.75</v>
      </c>
      <c r="U63" s="100">
        <v>13811951.939999999</v>
      </c>
      <c r="V63" s="100">
        <v>14247777.24</v>
      </c>
      <c r="W63" s="100">
        <v>14257169.16</v>
      </c>
      <c r="X63" s="100">
        <v>0</v>
      </c>
      <c r="Z63" s="81"/>
    </row>
    <row r="64" spans="2:26" ht="21">
      <c r="B64" s="112" t="s">
        <v>201</v>
      </c>
      <c r="C64" s="116" t="s">
        <v>186</v>
      </c>
      <c r="D64" s="100">
        <f>'[1]Balance Sheet'!$E$445</f>
        <v>7058922.9800000023</v>
      </c>
      <c r="E64" s="100">
        <v>6269267.3899999978</v>
      </c>
      <c r="F64" s="100">
        <v>5111811.9599999981</v>
      </c>
      <c r="G64" s="100">
        <v>4969786.8</v>
      </c>
      <c r="H64" s="100">
        <v>7624493.75</v>
      </c>
      <c r="I64" s="100">
        <v>11877173.049999999</v>
      </c>
      <c r="J64" s="100">
        <v>11059594.429999998</v>
      </c>
      <c r="K64" s="100">
        <v>13349747.630000001</v>
      </c>
      <c r="L64" s="100">
        <v>14790696.18</v>
      </c>
      <c r="M64" s="100">
        <v>16892305.890000001</v>
      </c>
      <c r="N64" s="100">
        <v>19593810.389999997</v>
      </c>
      <c r="O64" s="100">
        <v>21712792.359999999</v>
      </c>
      <c r="P64" s="100">
        <v>22813791.129999999</v>
      </c>
      <c r="Q64" s="100">
        <v>27554371.700000003</v>
      </c>
      <c r="R64" s="100">
        <v>37798294.640000001</v>
      </c>
      <c r="S64" s="100">
        <v>48148350.930000007</v>
      </c>
      <c r="T64" s="100">
        <v>51478747.130000003</v>
      </c>
      <c r="U64" s="100">
        <v>65972339.350000001</v>
      </c>
      <c r="V64" s="100">
        <v>57490529.460000001</v>
      </c>
      <c r="W64" s="100">
        <v>45249034.550000004</v>
      </c>
      <c r="X64" s="100">
        <v>68909454.209999993</v>
      </c>
      <c r="Z64" s="88"/>
    </row>
    <row r="65" spans="2:26">
      <c r="B65" s="112" t="s">
        <v>202</v>
      </c>
      <c r="C65" s="113" t="s">
        <v>203</v>
      </c>
      <c r="D65" s="100">
        <f>'[1]Balance Sheet'!$E$450</f>
        <v>48214175.859999999</v>
      </c>
      <c r="E65" s="100">
        <v>36306126.930000007</v>
      </c>
      <c r="F65" s="100">
        <v>47716086.409999989</v>
      </c>
      <c r="G65" s="100">
        <v>52060408.789999992</v>
      </c>
      <c r="H65" s="100">
        <v>49696918.930000007</v>
      </c>
      <c r="I65" s="100">
        <v>54303143.329999998</v>
      </c>
      <c r="J65" s="100">
        <v>67484316.799999997</v>
      </c>
      <c r="K65" s="100">
        <v>64741541.180000007</v>
      </c>
      <c r="L65" s="100">
        <v>55896824.019999996</v>
      </c>
      <c r="M65" s="100">
        <v>57033238.18</v>
      </c>
      <c r="N65" s="100">
        <v>54929956.86999999</v>
      </c>
      <c r="O65" s="100">
        <v>41609548.500000007</v>
      </c>
      <c r="P65" s="100">
        <v>41575596.510000005</v>
      </c>
      <c r="Q65" s="100">
        <v>37876312.390000008</v>
      </c>
      <c r="R65" s="100">
        <v>37501854.310000002</v>
      </c>
      <c r="S65" s="100">
        <v>37974410.649999991</v>
      </c>
      <c r="T65" s="100">
        <v>38291803.650000006</v>
      </c>
      <c r="U65" s="100">
        <v>38676969.530000001</v>
      </c>
      <c r="V65" s="100">
        <v>32521282.210000001</v>
      </c>
      <c r="W65" s="100">
        <v>39305335.880000003</v>
      </c>
      <c r="X65" s="100">
        <v>50262114.299999997</v>
      </c>
      <c r="Z65" s="81"/>
    </row>
    <row r="66" spans="2:26">
      <c r="B66" s="112" t="s">
        <v>204</v>
      </c>
      <c r="C66" s="113" t="s">
        <v>205</v>
      </c>
      <c r="D66" s="100">
        <f>'[1]Balance Sheet'!$E$475</f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0">
        <v>0</v>
      </c>
      <c r="R66" s="100">
        <v>0</v>
      </c>
      <c r="S66" s="100">
        <v>0</v>
      </c>
      <c r="T66" s="100">
        <v>0</v>
      </c>
      <c r="U66" s="100">
        <v>0</v>
      </c>
      <c r="V66" s="100">
        <v>0</v>
      </c>
      <c r="W66" s="100">
        <v>0</v>
      </c>
      <c r="X66" s="100">
        <v>0</v>
      </c>
      <c r="Z66" s="89"/>
    </row>
    <row r="67" spans="2:26">
      <c r="B67" s="112" t="s">
        <v>206</v>
      </c>
      <c r="C67" s="113" t="s">
        <v>188</v>
      </c>
      <c r="D67" s="100">
        <f>'[1]Balance Sheet'!$E$478</f>
        <v>31196330.980000004</v>
      </c>
      <c r="E67" s="100">
        <v>32889758.069999997</v>
      </c>
      <c r="F67" s="100">
        <v>33280081.129999999</v>
      </c>
      <c r="G67" s="100">
        <v>34493523.910000004</v>
      </c>
      <c r="H67" s="100">
        <v>40112507.220000014</v>
      </c>
      <c r="I67" s="100">
        <v>46317559.750000007</v>
      </c>
      <c r="J67" s="100">
        <v>36702687.490000002</v>
      </c>
      <c r="K67" s="100">
        <v>37716619.639999993</v>
      </c>
      <c r="L67" s="100">
        <v>43619732.210000001</v>
      </c>
      <c r="M67" s="100">
        <v>54659325.640000008</v>
      </c>
      <c r="N67" s="100">
        <v>51108114.230000012</v>
      </c>
      <c r="O67" s="100">
        <v>51178196.690000005</v>
      </c>
      <c r="P67" s="100">
        <v>50096480.339999996</v>
      </c>
      <c r="Q67" s="100">
        <v>45567690.450000003</v>
      </c>
      <c r="R67" s="100">
        <v>65351404.699999996</v>
      </c>
      <c r="S67" s="100">
        <v>43653721.339999996</v>
      </c>
      <c r="T67" s="100">
        <v>43395941.639999993</v>
      </c>
      <c r="U67" s="100">
        <v>46419949.849999994</v>
      </c>
      <c r="V67" s="100">
        <v>42731635.380000003</v>
      </c>
      <c r="W67" s="100">
        <v>36620388.489999995</v>
      </c>
      <c r="X67" s="100">
        <v>39091214.20000001</v>
      </c>
      <c r="Z67" s="89"/>
    </row>
    <row r="68" spans="2:26" ht="5.5" customHeight="1">
      <c r="B68" s="91"/>
      <c r="C68" s="9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78"/>
      <c r="Z68" s="78"/>
    </row>
    <row r="69" spans="2:26">
      <c r="B69" s="117" t="s">
        <v>16</v>
      </c>
      <c r="C69" s="118" t="s">
        <v>207</v>
      </c>
      <c r="D69" s="119">
        <f t="shared" ref="D69" si="5">SUM(D63:D67)</f>
        <v>116143481.90000001</v>
      </c>
      <c r="E69" s="119">
        <v>104796578.81999999</v>
      </c>
      <c r="F69" s="119">
        <v>103787970.11999997</v>
      </c>
      <c r="G69" s="119">
        <v>117833453.90000001</v>
      </c>
      <c r="H69" s="119">
        <v>126387887.18000002</v>
      </c>
      <c r="I69" s="119">
        <v>143044192.37</v>
      </c>
      <c r="J69" s="119">
        <v>147128673.21000001</v>
      </c>
      <c r="K69" s="119">
        <v>149178792.49000001</v>
      </c>
      <c r="L69" s="119">
        <v>149511718.40000001</v>
      </c>
      <c r="M69" s="119">
        <v>166752612.59</v>
      </c>
      <c r="N69" s="119">
        <v>165231178.66</v>
      </c>
      <c r="O69" s="119">
        <v>153469479.09999999</v>
      </c>
      <c r="P69" s="119">
        <v>148825493.97999999</v>
      </c>
      <c r="Q69" s="119">
        <v>140162842.17000002</v>
      </c>
      <c r="R69" s="119">
        <v>168382562.59</v>
      </c>
      <c r="S69" s="119">
        <v>149322345.66</v>
      </c>
      <c r="T69" s="119">
        <v>152815714.16999999</v>
      </c>
      <c r="U69" s="119">
        <v>164881210.67000002</v>
      </c>
      <c r="V69" s="119">
        <v>146991224.28999999</v>
      </c>
      <c r="W69" s="119">
        <v>135431928.07999998</v>
      </c>
      <c r="X69" s="119">
        <v>158262782.71000001</v>
      </c>
      <c r="Y69" s="121"/>
      <c r="Z69" s="81"/>
    </row>
    <row r="70" spans="2:26" ht="5.5" customHeight="1" thickBot="1">
      <c r="B70" s="93"/>
      <c r="C70" s="9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78"/>
      <c r="Z70" s="78"/>
    </row>
    <row r="71" spans="2:26" ht="11" thickBot="1">
      <c r="B71" s="95" t="s">
        <v>210</v>
      </c>
      <c r="C71" s="96" t="s">
        <v>208</v>
      </c>
      <c r="D71" s="105">
        <f t="shared" ref="D71" si="6">D69+D60+D46</f>
        <v>782548200.08000016</v>
      </c>
      <c r="E71" s="105">
        <v>777089653.94000006</v>
      </c>
      <c r="F71" s="105">
        <v>772116003.38000011</v>
      </c>
      <c r="G71" s="105">
        <v>777134509.07999992</v>
      </c>
      <c r="H71" s="105">
        <v>783113742.44000018</v>
      </c>
      <c r="I71" s="105">
        <v>807414064.17000031</v>
      </c>
      <c r="J71" s="105">
        <v>808309191.63000011</v>
      </c>
      <c r="K71" s="105">
        <v>816352005.10000014</v>
      </c>
      <c r="L71" s="105">
        <v>814181803.24000025</v>
      </c>
      <c r="M71" s="105">
        <v>839164559.82000017</v>
      </c>
      <c r="N71" s="105">
        <v>841273625.74000025</v>
      </c>
      <c r="O71" s="105">
        <v>835404382.88000011</v>
      </c>
      <c r="P71" s="105">
        <v>832555369.73000002</v>
      </c>
      <c r="Q71" s="105">
        <v>826184473.1400001</v>
      </c>
      <c r="R71" s="105">
        <v>860874143.33000016</v>
      </c>
      <c r="S71" s="105">
        <v>845850711.69000018</v>
      </c>
      <c r="T71" s="105">
        <v>859112402.41000021</v>
      </c>
      <c r="U71" s="105">
        <v>881219094.77000022</v>
      </c>
      <c r="V71" s="105">
        <v>881815149.76000023</v>
      </c>
      <c r="W71" s="105">
        <v>872101067.93000019</v>
      </c>
      <c r="X71" s="105">
        <v>874937024.46000028</v>
      </c>
      <c r="Y71" s="84"/>
      <c r="Z71" s="78"/>
    </row>
    <row r="72" spans="2:26">
      <c r="D72" s="190"/>
      <c r="Y72" s="68"/>
      <c r="Z72" s="78"/>
    </row>
    <row r="73" spans="2:26">
      <c r="D73" s="191"/>
    </row>
    <row r="74" spans="2:26">
      <c r="D74" s="192">
        <f>IF(D73=0,0,D37/D73)</f>
        <v>0</v>
      </c>
    </row>
    <row r="76" spans="2:26">
      <c r="D76" s="99" t="b">
        <f>D71=D33</f>
        <v>1</v>
      </c>
    </row>
  </sheetData>
  <pageMargins left="0.7" right="0.7" top="0.75" bottom="0.75" header="0.3" footer="0.3"/>
  <pageSetup paperSize="9" scale="1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2D014-DA18-484B-AB01-5C531F6CC7A6}">
  <sheetPr>
    <tabColor rgb="FF336699"/>
    <pageSetUpPr fitToPage="1"/>
  </sheetPr>
  <dimension ref="A2:AS37"/>
  <sheetViews>
    <sheetView showGridLines="0" workbookViewId="0">
      <selection activeCell="C41" sqref="C41"/>
    </sheetView>
  </sheetViews>
  <sheetFormatPr defaultColWidth="9.1796875" defaultRowHeight="10.5"/>
  <cols>
    <col min="1" max="1" width="2.81640625" style="73" customWidth="1"/>
    <col min="2" max="3" width="45.453125" style="73" customWidth="1"/>
    <col min="4" max="23" width="11.1796875" style="73" customWidth="1"/>
    <col min="24" max="24" width="11.1796875" style="73" hidden="1" customWidth="1"/>
    <col min="25" max="25" width="2.1796875" style="73" customWidth="1"/>
    <col min="26" max="45" width="11.1796875" style="73" customWidth="1"/>
    <col min="46" max="16384" width="9.1796875" style="73"/>
  </cols>
  <sheetData>
    <row r="2" spans="1:45">
      <c r="B2" s="90" t="s">
        <v>167</v>
      </c>
    </row>
    <row r="3" spans="1:45">
      <c r="B3" s="73" t="s">
        <v>317</v>
      </c>
    </row>
    <row r="5" spans="1:45" s="74" customFormat="1" ht="20.5" customHeight="1">
      <c r="A5" s="133"/>
      <c r="B5" s="134"/>
      <c r="C5" s="135"/>
      <c r="D5" s="137">
        <v>46112</v>
      </c>
      <c r="E5" s="140">
        <v>46022</v>
      </c>
      <c r="F5" s="137">
        <v>45930</v>
      </c>
      <c r="G5" s="137">
        <v>45838</v>
      </c>
      <c r="H5" s="137">
        <v>45747</v>
      </c>
      <c r="I5" s="136">
        <v>45657</v>
      </c>
      <c r="J5" s="137">
        <v>45565</v>
      </c>
      <c r="K5" s="137">
        <v>45473</v>
      </c>
      <c r="L5" s="137">
        <v>45382</v>
      </c>
      <c r="M5" s="136">
        <v>45291</v>
      </c>
      <c r="N5" s="137">
        <v>45199</v>
      </c>
      <c r="O5" s="137">
        <v>45107</v>
      </c>
      <c r="P5" s="137">
        <v>45016</v>
      </c>
      <c r="Q5" s="136">
        <v>44926</v>
      </c>
      <c r="R5" s="137">
        <v>44834</v>
      </c>
      <c r="S5" s="137">
        <v>44742</v>
      </c>
      <c r="T5" s="137">
        <v>44651</v>
      </c>
      <c r="U5" s="136">
        <v>44561</v>
      </c>
      <c r="V5" s="137">
        <v>44469</v>
      </c>
      <c r="W5" s="137">
        <v>44377</v>
      </c>
      <c r="X5" s="137">
        <v>44286</v>
      </c>
      <c r="Z5" s="137">
        <v>46022</v>
      </c>
      <c r="AA5" s="137">
        <v>45930</v>
      </c>
      <c r="AB5" s="137">
        <v>45838</v>
      </c>
      <c r="AC5" s="137">
        <v>45747</v>
      </c>
      <c r="AD5" s="137">
        <v>45657</v>
      </c>
      <c r="AE5" s="137">
        <v>45565</v>
      </c>
      <c r="AF5" s="137">
        <v>45473</v>
      </c>
      <c r="AG5" s="137">
        <v>45382</v>
      </c>
      <c r="AH5" s="137">
        <v>45291</v>
      </c>
      <c r="AI5" s="137">
        <v>45199</v>
      </c>
      <c r="AJ5" s="137">
        <v>45107</v>
      </c>
      <c r="AK5" s="137">
        <v>45016</v>
      </c>
      <c r="AL5" s="137">
        <v>44926</v>
      </c>
      <c r="AM5" s="137">
        <v>44834</v>
      </c>
      <c r="AN5" s="137">
        <v>44742</v>
      </c>
      <c r="AO5" s="137">
        <v>44651</v>
      </c>
      <c r="AP5" s="137">
        <v>44561</v>
      </c>
      <c r="AQ5" s="137">
        <v>44469</v>
      </c>
      <c r="AR5" s="137">
        <v>44377</v>
      </c>
      <c r="AS5" s="137">
        <v>44286</v>
      </c>
    </row>
    <row r="6" spans="1:45" s="74" customFormat="1" ht="20.5" customHeight="1">
      <c r="A6" s="133"/>
      <c r="B6" s="141"/>
      <c r="C6" s="142"/>
      <c r="D6" s="143" t="s">
        <v>63</v>
      </c>
      <c r="E6" s="144" t="s">
        <v>92</v>
      </c>
      <c r="F6" s="143" t="s">
        <v>62</v>
      </c>
      <c r="G6" s="143" t="s">
        <v>61</v>
      </c>
      <c r="H6" s="143" t="s">
        <v>63</v>
      </c>
      <c r="I6" s="144" t="s">
        <v>92</v>
      </c>
      <c r="J6" s="143" t="s">
        <v>62</v>
      </c>
      <c r="K6" s="143" t="s">
        <v>61</v>
      </c>
      <c r="L6" s="143" t="s">
        <v>63</v>
      </c>
      <c r="M6" s="144" t="s">
        <v>92</v>
      </c>
      <c r="N6" s="143" t="s">
        <v>62</v>
      </c>
      <c r="O6" s="143" t="s">
        <v>61</v>
      </c>
      <c r="P6" s="143" t="s">
        <v>63</v>
      </c>
      <c r="Q6" s="144" t="s">
        <v>92</v>
      </c>
      <c r="R6" s="143" t="s">
        <v>62</v>
      </c>
      <c r="S6" s="143" t="s">
        <v>61</v>
      </c>
      <c r="T6" s="143" t="s">
        <v>63</v>
      </c>
      <c r="U6" s="144" t="s">
        <v>92</v>
      </c>
      <c r="V6" s="143" t="s">
        <v>62</v>
      </c>
      <c r="W6" s="143" t="s">
        <v>61</v>
      </c>
      <c r="X6" s="143" t="s">
        <v>63</v>
      </c>
      <c r="Z6" s="143" t="s">
        <v>319</v>
      </c>
      <c r="AA6" s="143" t="s">
        <v>320</v>
      </c>
      <c r="AB6" s="143" t="s">
        <v>321</v>
      </c>
      <c r="AC6" s="143" t="s">
        <v>322</v>
      </c>
      <c r="AD6" s="143" t="s">
        <v>319</v>
      </c>
      <c r="AE6" s="143" t="s">
        <v>320</v>
      </c>
      <c r="AF6" s="143" t="s">
        <v>321</v>
      </c>
      <c r="AG6" s="143" t="s">
        <v>322</v>
      </c>
      <c r="AH6" s="143" t="s">
        <v>319</v>
      </c>
      <c r="AI6" s="143" t="s">
        <v>320</v>
      </c>
      <c r="AJ6" s="143" t="s">
        <v>321</v>
      </c>
      <c r="AK6" s="143" t="s">
        <v>322</v>
      </c>
      <c r="AL6" s="143" t="s">
        <v>319</v>
      </c>
      <c r="AM6" s="143" t="s">
        <v>320</v>
      </c>
      <c r="AN6" s="143" t="s">
        <v>321</v>
      </c>
      <c r="AO6" s="143" t="s">
        <v>322</v>
      </c>
      <c r="AP6" s="143" t="s">
        <v>319</v>
      </c>
      <c r="AQ6" s="143" t="s">
        <v>320</v>
      </c>
      <c r="AR6" s="143" t="s">
        <v>321</v>
      </c>
      <c r="AS6" s="143" t="s">
        <v>322</v>
      </c>
    </row>
    <row r="7" spans="1:45" ht="10.5" customHeight="1"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7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7"/>
    </row>
    <row r="8" spans="1:45" ht="14.25" customHeight="1">
      <c r="B8" s="79" t="s">
        <v>211</v>
      </c>
      <c r="C8" s="80" t="s">
        <v>212</v>
      </c>
      <c r="D8" s="100">
        <f>'[1]Income Statement'!$E$9</f>
        <v>50736333.990000002</v>
      </c>
      <c r="E8" s="100">
        <v>287389426.75</v>
      </c>
      <c r="F8" s="100">
        <v>220078000</v>
      </c>
      <c r="G8" s="100">
        <v>148383511.01999998</v>
      </c>
      <c r="H8" s="100">
        <v>68154357.100000009</v>
      </c>
      <c r="I8" s="100">
        <v>214052243.18000001</v>
      </c>
      <c r="J8" s="100">
        <v>134993559.24000001</v>
      </c>
      <c r="K8" s="100">
        <v>90912447.890000001</v>
      </c>
      <c r="L8" s="100">
        <v>39220113.539999999</v>
      </c>
      <c r="M8" s="100">
        <v>187265106.41</v>
      </c>
      <c r="N8" s="100">
        <v>138687702.67000002</v>
      </c>
      <c r="O8" s="100">
        <v>86308757.680000007</v>
      </c>
      <c r="P8" s="100">
        <v>35963428.909999996</v>
      </c>
      <c r="Q8" s="100">
        <v>240310538.22</v>
      </c>
      <c r="R8" s="100">
        <v>160667351.06999999</v>
      </c>
      <c r="S8" s="100">
        <v>102488134.13000001</v>
      </c>
      <c r="T8" s="100">
        <v>52237834.819999993</v>
      </c>
      <c r="U8" s="100">
        <v>168706694.55999997</v>
      </c>
      <c r="V8" s="100">
        <v>125326719.01000001</v>
      </c>
      <c r="W8" s="100">
        <v>76205483.760000005</v>
      </c>
      <c r="X8" s="100">
        <v>38347827.219999999</v>
      </c>
      <c r="Z8" s="99">
        <v>67311426.75</v>
      </c>
      <c r="AA8" s="99">
        <v>71694488.980000019</v>
      </c>
      <c r="AB8" s="99">
        <v>80229153.919999972</v>
      </c>
      <c r="AC8" s="99">
        <v>68154357.100000009</v>
      </c>
      <c r="AD8" s="99">
        <v>79058683.939999998</v>
      </c>
      <c r="AE8" s="99">
        <v>44081111.350000009</v>
      </c>
      <c r="AF8" s="99">
        <v>51692334.350000001</v>
      </c>
      <c r="AG8" s="99">
        <v>39220113.539999999</v>
      </c>
      <c r="AH8" s="99">
        <v>48577403.73999998</v>
      </c>
      <c r="AI8" s="99">
        <v>52378944.99000001</v>
      </c>
      <c r="AJ8" s="99">
        <v>50345328.770000011</v>
      </c>
      <c r="AK8" s="99">
        <v>35963428.909999996</v>
      </c>
      <c r="AL8" s="99">
        <v>79643187.150000006</v>
      </c>
      <c r="AM8" s="99">
        <v>58179216.939999983</v>
      </c>
      <c r="AN8" s="99">
        <v>50250299.310000017</v>
      </c>
      <c r="AO8" s="99">
        <v>52237834.819999993</v>
      </c>
      <c r="AP8" s="99">
        <v>43379975.549999967</v>
      </c>
      <c r="AQ8" s="99">
        <v>49121235.25</v>
      </c>
      <c r="AR8" s="99">
        <v>37857656.540000007</v>
      </c>
      <c r="AS8" s="99">
        <v>38347827.219999999</v>
      </c>
    </row>
    <row r="9" spans="1:45" ht="11.25" customHeight="1">
      <c r="B9" s="79" t="s">
        <v>22</v>
      </c>
      <c r="C9" s="80" t="s">
        <v>213</v>
      </c>
      <c r="D9" s="100">
        <f>'[1]Income Statement'!$E$11</f>
        <v>35233772.310000002</v>
      </c>
      <c r="E9" s="100">
        <v>193527759.89000002</v>
      </c>
      <c r="F9" s="100">
        <v>153952334.31</v>
      </c>
      <c r="G9" s="100">
        <v>106630649.95999999</v>
      </c>
      <c r="H9" s="100">
        <v>52877103.109999999</v>
      </c>
      <c r="I9" s="100">
        <v>150253319.31</v>
      </c>
      <c r="J9" s="100">
        <v>92931978.260000005</v>
      </c>
      <c r="K9" s="100">
        <v>62563186.829999998</v>
      </c>
      <c r="L9" s="100">
        <v>27659951.109999999</v>
      </c>
      <c r="M9" s="100">
        <v>105259474.41</v>
      </c>
      <c r="N9" s="100">
        <v>76129601.699999988</v>
      </c>
      <c r="O9" s="100">
        <v>42893075.920000002</v>
      </c>
      <c r="P9" s="100">
        <v>13239135.919999998</v>
      </c>
      <c r="Q9" s="100">
        <v>133224196.01000001</v>
      </c>
      <c r="R9" s="100">
        <v>88708121.670000002</v>
      </c>
      <c r="S9" s="100">
        <v>59252196.269999996</v>
      </c>
      <c r="T9" s="100">
        <v>33262157.809999995</v>
      </c>
      <c r="U9" s="100">
        <v>85844179.180000007</v>
      </c>
      <c r="V9" s="100">
        <v>64270880.140000001</v>
      </c>
      <c r="W9" s="100">
        <v>40594485.939999998</v>
      </c>
      <c r="X9" s="100">
        <v>19614669.52</v>
      </c>
      <c r="Z9" s="99">
        <v>39575425.580000013</v>
      </c>
      <c r="AA9" s="99">
        <v>47321684.350000009</v>
      </c>
      <c r="AB9" s="99">
        <v>53753546.849999994</v>
      </c>
      <c r="AC9" s="99">
        <v>52877103.109999999</v>
      </c>
      <c r="AD9" s="99">
        <v>57321341.049999997</v>
      </c>
      <c r="AE9" s="99">
        <v>30368791.430000007</v>
      </c>
      <c r="AF9" s="99">
        <v>34903235.719999999</v>
      </c>
      <c r="AG9" s="99">
        <v>27659951.109999999</v>
      </c>
      <c r="AH9" s="99">
        <v>29129872.710000008</v>
      </c>
      <c r="AI9" s="99">
        <v>33236525.779999986</v>
      </c>
      <c r="AJ9" s="99">
        <v>29653940.000000004</v>
      </c>
      <c r="AK9" s="99">
        <v>13239135.919999998</v>
      </c>
      <c r="AL9" s="99">
        <v>44516074.340000004</v>
      </c>
      <c r="AM9" s="99">
        <v>29455925.400000006</v>
      </c>
      <c r="AN9" s="99">
        <v>25990038.460000001</v>
      </c>
      <c r="AO9" s="99">
        <v>33262157.809999995</v>
      </c>
      <c r="AP9" s="99">
        <v>21573299.040000007</v>
      </c>
      <c r="AQ9" s="99">
        <v>23676394.200000003</v>
      </c>
      <c r="AR9" s="99">
        <v>20979816.419999998</v>
      </c>
      <c r="AS9" s="100">
        <v>19614669.52</v>
      </c>
    </row>
    <row r="10" spans="1:45" ht="11.25" customHeight="1">
      <c r="B10" s="79" t="s">
        <v>214</v>
      </c>
      <c r="C10" s="80" t="s">
        <v>215</v>
      </c>
      <c r="D10" s="100">
        <f>'[1]Income Statement'!$E$13</f>
        <v>1646120.74</v>
      </c>
      <c r="E10" s="100">
        <v>4935817.68</v>
      </c>
      <c r="F10" s="100">
        <v>3384039.08</v>
      </c>
      <c r="G10" s="100">
        <v>2347217.02</v>
      </c>
      <c r="H10" s="100">
        <v>1362890.98</v>
      </c>
      <c r="I10" s="100">
        <v>1929136.01</v>
      </c>
      <c r="J10" s="100">
        <v>474377.71</v>
      </c>
      <c r="K10" s="100">
        <v>0</v>
      </c>
      <c r="L10" s="100">
        <v>0</v>
      </c>
      <c r="M10" s="100">
        <v>10950165.25</v>
      </c>
      <c r="N10" s="100">
        <v>10950165.25</v>
      </c>
      <c r="O10" s="100">
        <v>5532629.2699999996</v>
      </c>
      <c r="P10" s="100">
        <v>3311330.84</v>
      </c>
      <c r="Q10" s="100">
        <v>11170234.49</v>
      </c>
      <c r="R10" s="100">
        <v>11088945.57</v>
      </c>
      <c r="S10" s="100">
        <v>4061198.4699999997</v>
      </c>
      <c r="T10" s="100">
        <v>3005250.24</v>
      </c>
      <c r="U10" s="100">
        <v>4912688.1000000006</v>
      </c>
      <c r="V10" s="100">
        <v>4284340.93</v>
      </c>
      <c r="W10" s="100">
        <v>1993019.31</v>
      </c>
      <c r="X10" s="100">
        <v>1978022.2</v>
      </c>
      <c r="Z10" s="99">
        <v>1551778.5999999996</v>
      </c>
      <c r="AA10" s="99">
        <v>1036822.06</v>
      </c>
      <c r="AB10" s="99">
        <v>984326.04</v>
      </c>
      <c r="AC10" s="99">
        <v>1362890.98</v>
      </c>
      <c r="AD10" s="99">
        <v>1454758.3</v>
      </c>
      <c r="AE10" s="99">
        <v>474377.71</v>
      </c>
      <c r="AF10" s="99">
        <v>0</v>
      </c>
      <c r="AG10" s="99">
        <v>0</v>
      </c>
      <c r="AH10" s="99">
        <v>0</v>
      </c>
      <c r="AI10" s="99">
        <v>5417535.9800000004</v>
      </c>
      <c r="AJ10" s="99">
        <v>2221298.4299999997</v>
      </c>
      <c r="AK10" s="99">
        <v>3311330.84</v>
      </c>
      <c r="AL10" s="99">
        <v>81288.919999999925</v>
      </c>
      <c r="AM10" s="99">
        <v>7027747.1000000006</v>
      </c>
      <c r="AN10" s="99">
        <v>1055948.2299999995</v>
      </c>
      <c r="AO10" s="99">
        <v>3005250.24</v>
      </c>
      <c r="AP10" s="99">
        <v>628347.17000000086</v>
      </c>
      <c r="AQ10" s="99">
        <v>2291321.6199999996</v>
      </c>
      <c r="AR10" s="99">
        <v>14997.110000000102</v>
      </c>
      <c r="AS10" s="100">
        <v>1978022.2</v>
      </c>
    </row>
    <row r="11" spans="1:45" ht="5.5" customHeight="1" thickBot="1">
      <c r="B11" s="75"/>
      <c r="C11" s="76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8"/>
    </row>
    <row r="12" spans="1:45" ht="11" thickBot="1">
      <c r="B12" s="95" t="s">
        <v>216</v>
      </c>
      <c r="C12" s="96" t="s">
        <v>217</v>
      </c>
      <c r="D12" s="106">
        <f t="shared" ref="D12" si="0">D8-D9-D10</f>
        <v>13856440.939999999</v>
      </c>
      <c r="E12" s="106">
        <v>88925849.179999977</v>
      </c>
      <c r="F12" s="106">
        <v>62741626.609999999</v>
      </c>
      <c r="G12" s="106">
        <v>39405644.039999984</v>
      </c>
      <c r="H12" s="106">
        <v>13914363.010000009</v>
      </c>
      <c r="I12" s="106">
        <v>61869787.860000007</v>
      </c>
      <c r="J12" s="106">
        <v>41587203.270000003</v>
      </c>
      <c r="K12" s="106">
        <v>28349261.060000002</v>
      </c>
      <c r="L12" s="106">
        <v>11560162.43</v>
      </c>
      <c r="M12" s="106">
        <v>71055466.75</v>
      </c>
      <c r="N12" s="106">
        <v>51607935.720000029</v>
      </c>
      <c r="O12" s="106">
        <v>37883052.49000001</v>
      </c>
      <c r="P12" s="106">
        <v>19412962.149999999</v>
      </c>
      <c r="Q12" s="106">
        <v>95916107.719999999</v>
      </c>
      <c r="R12" s="106">
        <v>60870283.829999991</v>
      </c>
      <c r="S12" s="106">
        <v>39174739.390000015</v>
      </c>
      <c r="T12" s="106">
        <v>15970426.769999998</v>
      </c>
      <c r="U12" s="106">
        <v>77949827.279999971</v>
      </c>
      <c r="V12" s="106">
        <v>56771497.940000005</v>
      </c>
      <c r="W12" s="106">
        <v>33617978.510000005</v>
      </c>
      <c r="X12" s="106">
        <v>16755135.5</v>
      </c>
      <c r="Z12" s="105">
        <v>26184222.569999985</v>
      </c>
      <c r="AA12" s="105">
        <v>23335982.570000011</v>
      </c>
      <c r="AB12" s="105">
        <v>25491281.029999979</v>
      </c>
      <c r="AC12" s="105">
        <v>13914363.010000009</v>
      </c>
      <c r="AD12" s="105">
        <v>20282584.59</v>
      </c>
      <c r="AE12" s="105">
        <v>13237942.210000001</v>
      </c>
      <c r="AF12" s="105">
        <v>16789098.630000003</v>
      </c>
      <c r="AG12" s="105">
        <v>11560162.43</v>
      </c>
      <c r="AH12" s="105">
        <v>19447531.029999971</v>
      </c>
      <c r="AI12" s="105">
        <v>13724883.230000023</v>
      </c>
      <c r="AJ12" s="105">
        <v>18470090.340000007</v>
      </c>
      <c r="AK12" s="105">
        <v>19412962.149999999</v>
      </c>
      <c r="AL12" s="105">
        <v>35045823.890000001</v>
      </c>
      <c r="AM12" s="105">
        <v>21695544.439999975</v>
      </c>
      <c r="AN12" s="105">
        <v>23204312.620000016</v>
      </c>
      <c r="AO12" s="105">
        <v>15970426.769999998</v>
      </c>
      <c r="AP12" s="105">
        <v>21178329.339999959</v>
      </c>
      <c r="AQ12" s="105">
        <v>23153519.429999996</v>
      </c>
      <c r="AR12" s="105">
        <v>16862843.010000009</v>
      </c>
      <c r="AS12" s="106">
        <v>16755135.5</v>
      </c>
    </row>
    <row r="13" spans="1:45" ht="5.5" customHeight="1">
      <c r="B13" s="75"/>
      <c r="C13" s="76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8"/>
    </row>
    <row r="14" spans="1:45">
      <c r="B14" s="79" t="s">
        <v>23</v>
      </c>
      <c r="C14" s="80" t="s">
        <v>220</v>
      </c>
      <c r="D14" s="100">
        <f>'[1]Income Statement'!$E$41</f>
        <v>10441776.720000001</v>
      </c>
      <c r="E14" s="100">
        <v>38417550.43</v>
      </c>
      <c r="F14" s="100">
        <v>28222629.239999998</v>
      </c>
      <c r="G14" s="100">
        <v>18930912.850000001</v>
      </c>
      <c r="H14" s="100">
        <v>9097345.0700000003</v>
      </c>
      <c r="I14" s="100">
        <v>37457542.640000001</v>
      </c>
      <c r="J14" s="100">
        <v>28005191.77</v>
      </c>
      <c r="K14" s="100">
        <v>19425854.260000002</v>
      </c>
      <c r="L14" s="100">
        <v>9172105.8900000006</v>
      </c>
      <c r="M14" s="100">
        <v>42570591.270000003</v>
      </c>
      <c r="N14" s="100">
        <v>29766805.219999999</v>
      </c>
      <c r="O14" s="100">
        <v>18358571.190000001</v>
      </c>
      <c r="P14" s="100">
        <v>9219861.4499999993</v>
      </c>
      <c r="Q14" s="100">
        <v>37104824.899999999</v>
      </c>
      <c r="R14" s="100">
        <v>26438738.18</v>
      </c>
      <c r="S14" s="100">
        <v>16849664.190000001</v>
      </c>
      <c r="T14" s="100">
        <v>8364763.4299999997</v>
      </c>
      <c r="U14" s="100">
        <v>33954521.719999999</v>
      </c>
      <c r="V14" s="100">
        <v>24904569.940000001</v>
      </c>
      <c r="W14" s="100">
        <v>16781712.609999999</v>
      </c>
      <c r="X14" s="100">
        <v>8231829.21</v>
      </c>
      <c r="Z14" s="99">
        <v>10194921.190000001</v>
      </c>
      <c r="AA14" s="99">
        <v>9291716.3899999969</v>
      </c>
      <c r="AB14" s="99">
        <v>9833567.7800000012</v>
      </c>
      <c r="AC14" s="99">
        <v>9097345.0700000003</v>
      </c>
      <c r="AD14" s="99">
        <v>9452350.870000001</v>
      </c>
      <c r="AE14" s="99">
        <v>8579337.5099999979</v>
      </c>
      <c r="AF14" s="99">
        <v>10253748.370000001</v>
      </c>
      <c r="AG14" s="99">
        <v>9172105.8900000006</v>
      </c>
      <c r="AH14" s="99">
        <v>12803786.050000004</v>
      </c>
      <c r="AI14" s="99">
        <v>11408234.029999997</v>
      </c>
      <c r="AJ14" s="99">
        <v>9138709.7400000021</v>
      </c>
      <c r="AK14" s="99">
        <v>9219861.4499999993</v>
      </c>
      <c r="AL14" s="99">
        <v>10666086.719999999</v>
      </c>
      <c r="AM14" s="99">
        <v>9589073.9899999984</v>
      </c>
      <c r="AN14" s="99">
        <v>8484900.7600000016</v>
      </c>
      <c r="AO14" s="99">
        <v>8364763.4299999997</v>
      </c>
      <c r="AP14" s="99">
        <v>9049951.7799999975</v>
      </c>
      <c r="AQ14" s="99">
        <v>8122857.3300000019</v>
      </c>
      <c r="AR14" s="99">
        <v>8549883.3999999985</v>
      </c>
      <c r="AS14" s="100">
        <v>8231829.21</v>
      </c>
    </row>
    <row r="15" spans="1:45">
      <c r="B15" s="79" t="s">
        <v>221</v>
      </c>
      <c r="C15" s="80" t="s">
        <v>222</v>
      </c>
      <c r="D15" s="100">
        <f>'[1]Income Statement'!$E$42</f>
        <v>8318140.6100000003</v>
      </c>
      <c r="E15" s="100">
        <v>34643042.109999999</v>
      </c>
      <c r="F15" s="100">
        <v>25087503.989999998</v>
      </c>
      <c r="G15" s="100">
        <v>16381325.619999999</v>
      </c>
      <c r="H15" s="100">
        <v>7858421.4800000004</v>
      </c>
      <c r="I15" s="100">
        <v>29505321.16</v>
      </c>
      <c r="J15" s="100">
        <v>22010811.140000001</v>
      </c>
      <c r="K15" s="100">
        <v>14919722.189999999</v>
      </c>
      <c r="L15" s="100">
        <v>6732544.5</v>
      </c>
      <c r="M15" s="100">
        <v>28943678.379999999</v>
      </c>
      <c r="N15" s="100">
        <v>21779836.149999999</v>
      </c>
      <c r="O15" s="100">
        <v>14348757.82</v>
      </c>
      <c r="P15" s="100">
        <v>6763380.1399999997</v>
      </c>
      <c r="Q15" s="100">
        <v>28768983.460000001</v>
      </c>
      <c r="R15" s="100">
        <v>21122492.239999998</v>
      </c>
      <c r="S15" s="100">
        <v>14030647.35</v>
      </c>
      <c r="T15" s="100">
        <v>6474408.6500000004</v>
      </c>
      <c r="U15" s="100">
        <v>26621367.890000001</v>
      </c>
      <c r="V15" s="100">
        <v>20015430.289999999</v>
      </c>
      <c r="W15" s="100">
        <v>13682532.130000001</v>
      </c>
      <c r="X15" s="100">
        <v>6489293.1100000003</v>
      </c>
      <c r="Z15" s="99">
        <v>9555538.120000001</v>
      </c>
      <c r="AA15" s="99">
        <v>8706178.3699999992</v>
      </c>
      <c r="AB15" s="99">
        <v>8522904.1399999987</v>
      </c>
      <c r="AC15" s="99">
        <v>7858421.4800000004</v>
      </c>
      <c r="AD15" s="99">
        <v>7494510.0199999996</v>
      </c>
      <c r="AE15" s="99">
        <v>7091088.9500000011</v>
      </c>
      <c r="AF15" s="99">
        <v>8187177.6899999995</v>
      </c>
      <c r="AG15" s="99">
        <v>6732544.5</v>
      </c>
      <c r="AH15" s="99">
        <v>7163842.2300000004</v>
      </c>
      <c r="AI15" s="99">
        <v>7431078.3299999982</v>
      </c>
      <c r="AJ15" s="99">
        <v>7585377.6800000006</v>
      </c>
      <c r="AK15" s="99">
        <v>6763380.1399999997</v>
      </c>
      <c r="AL15" s="99">
        <v>7646491.2200000025</v>
      </c>
      <c r="AM15" s="99">
        <v>7091844.8899999987</v>
      </c>
      <c r="AN15" s="99">
        <v>7556238.6999999993</v>
      </c>
      <c r="AO15" s="99">
        <v>6474408.6500000004</v>
      </c>
      <c r="AP15" s="99">
        <v>6605937.6000000015</v>
      </c>
      <c r="AQ15" s="99">
        <v>6332898.1599999983</v>
      </c>
      <c r="AR15" s="99">
        <v>7193239.0200000005</v>
      </c>
      <c r="AS15" s="100">
        <v>6489293.1100000003</v>
      </c>
    </row>
    <row r="16" spans="1:45">
      <c r="B16" s="79" t="s">
        <v>223</v>
      </c>
      <c r="C16" s="80" t="s">
        <v>224</v>
      </c>
      <c r="D16" s="100">
        <f>'[1]Income Statement'!$E$43</f>
        <v>1073192.1499999999</v>
      </c>
      <c r="E16" s="100">
        <v>3889724.36</v>
      </c>
      <c r="F16" s="100">
        <v>2908075.05</v>
      </c>
      <c r="G16" s="100">
        <v>2183142.6999999997</v>
      </c>
      <c r="H16" s="100">
        <v>967969.27</v>
      </c>
      <c r="I16" s="100">
        <v>3990425.09</v>
      </c>
      <c r="J16" s="100">
        <v>2939539.61</v>
      </c>
      <c r="K16" s="100">
        <v>1825125.14</v>
      </c>
      <c r="L16" s="100">
        <v>749989.26</v>
      </c>
      <c r="M16" s="100">
        <v>5495794.7199999997</v>
      </c>
      <c r="N16" s="100">
        <v>4009578.74</v>
      </c>
      <c r="O16" s="100">
        <v>2637504.9</v>
      </c>
      <c r="P16" s="100">
        <v>1205165.58</v>
      </c>
      <c r="Q16" s="100">
        <v>5336793.0599999996</v>
      </c>
      <c r="R16" s="100">
        <v>4244830.17</v>
      </c>
      <c r="S16" s="100">
        <v>2463239.0099999998</v>
      </c>
      <c r="T16" s="100">
        <v>1028815.96</v>
      </c>
      <c r="U16" s="100">
        <v>4664712.62</v>
      </c>
      <c r="V16" s="100">
        <v>3435589.38</v>
      </c>
      <c r="W16" s="100">
        <v>2292101.7400000002</v>
      </c>
      <c r="X16" s="100">
        <v>1318952.51</v>
      </c>
      <c r="Z16" s="99">
        <v>981649.31</v>
      </c>
      <c r="AA16" s="99">
        <v>724932.35000000009</v>
      </c>
      <c r="AB16" s="99">
        <v>1215173.4299999997</v>
      </c>
      <c r="AC16" s="99">
        <v>967969.27</v>
      </c>
      <c r="AD16" s="99">
        <v>1050885.48</v>
      </c>
      <c r="AE16" s="99">
        <v>1114414.47</v>
      </c>
      <c r="AF16" s="99">
        <v>1075135.8799999999</v>
      </c>
      <c r="AG16" s="99">
        <v>749989.26</v>
      </c>
      <c r="AH16" s="99">
        <v>1486215.9799999995</v>
      </c>
      <c r="AI16" s="99">
        <v>1372073.8400000003</v>
      </c>
      <c r="AJ16" s="99">
        <v>1432339.3199999998</v>
      </c>
      <c r="AK16" s="99">
        <v>1205165.58</v>
      </c>
      <c r="AL16" s="99">
        <v>1091962.8899999997</v>
      </c>
      <c r="AM16" s="99">
        <v>1781591.1600000001</v>
      </c>
      <c r="AN16" s="99">
        <v>1434423.0499999998</v>
      </c>
      <c r="AO16" s="99">
        <v>1028815.96</v>
      </c>
      <c r="AP16" s="99">
        <v>1229123.2400000002</v>
      </c>
      <c r="AQ16" s="99">
        <v>1143487.6399999997</v>
      </c>
      <c r="AR16" s="99">
        <v>973149.23000000021</v>
      </c>
      <c r="AS16" s="100">
        <v>1318952.51</v>
      </c>
    </row>
    <row r="17" spans="2:45" ht="6" customHeight="1">
      <c r="B17" s="75"/>
      <c r="C17" s="76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8"/>
    </row>
    <row r="18" spans="2:45">
      <c r="B18" s="79" t="s">
        <v>218</v>
      </c>
      <c r="C18" s="80" t="s">
        <v>219</v>
      </c>
      <c r="D18" s="100">
        <f>'[1]Income Statement'!$E$17</f>
        <v>3125878.37</v>
      </c>
      <c r="E18" s="100">
        <v>6329930.6500000004</v>
      </c>
      <c r="F18" s="100">
        <v>5338988.5499999989</v>
      </c>
      <c r="G18" s="100">
        <v>1941632.7699999996</v>
      </c>
      <c r="H18" s="100">
        <v>1530429.7000000002</v>
      </c>
      <c r="I18" s="100">
        <v>2518000</v>
      </c>
      <c r="J18" s="100">
        <v>3355864.12</v>
      </c>
      <c r="K18" s="100">
        <v>1949000</v>
      </c>
      <c r="L18" s="100">
        <v>963753.37</v>
      </c>
      <c r="M18" s="100">
        <v>21599584.959999997</v>
      </c>
      <c r="N18" s="100">
        <v>9346230.8000000007</v>
      </c>
      <c r="O18" s="100">
        <v>4926000</v>
      </c>
      <c r="P18" s="100">
        <v>1755671.08</v>
      </c>
      <c r="Q18" s="100">
        <v>6729724.1400000006</v>
      </c>
      <c r="R18" s="100">
        <v>5369385.4400000004</v>
      </c>
      <c r="S18" s="100">
        <v>3394325.09</v>
      </c>
      <c r="T18" s="100">
        <v>2773826.5399999996</v>
      </c>
      <c r="U18" s="100">
        <v>5743699.3799999999</v>
      </c>
      <c r="V18" s="100">
        <v>9496163.8499999996</v>
      </c>
      <c r="W18" s="100">
        <v>4525221.5300000012</v>
      </c>
      <c r="X18" s="100">
        <v>2789559.73</v>
      </c>
      <c r="Z18" s="99">
        <v>990942.10000000149</v>
      </c>
      <c r="AA18" s="99">
        <v>3397355.7799999993</v>
      </c>
      <c r="AB18" s="99">
        <v>411203.06999999937</v>
      </c>
      <c r="AC18" s="99">
        <v>1530429.7000000002</v>
      </c>
      <c r="AD18" s="99">
        <v>-837864.12000000011</v>
      </c>
      <c r="AE18" s="99">
        <v>1406864.12</v>
      </c>
      <c r="AF18" s="99">
        <v>985246.63</v>
      </c>
      <c r="AG18" s="99">
        <v>963753.37</v>
      </c>
      <c r="AH18" s="99">
        <v>12253354.159999996</v>
      </c>
      <c r="AI18" s="99">
        <v>4420230.8000000007</v>
      </c>
      <c r="AJ18" s="99">
        <v>3170328.92</v>
      </c>
      <c r="AK18" s="99">
        <v>1755671.08</v>
      </c>
      <c r="AL18" s="99">
        <v>1360338.7000000002</v>
      </c>
      <c r="AM18" s="99">
        <v>1975060.3500000006</v>
      </c>
      <c r="AN18" s="99">
        <v>620498.55000000028</v>
      </c>
      <c r="AO18" s="99">
        <v>2773826.5399999996</v>
      </c>
      <c r="AP18" s="99">
        <v>-3752464.4699999997</v>
      </c>
      <c r="AQ18" s="99">
        <v>4970942.3199999984</v>
      </c>
      <c r="AR18" s="99">
        <v>1735661.8000000012</v>
      </c>
      <c r="AS18" s="100">
        <v>2789559.73</v>
      </c>
    </row>
    <row r="19" spans="2:45">
      <c r="B19" s="79" t="s">
        <v>225</v>
      </c>
      <c r="C19" s="80" t="s">
        <v>226</v>
      </c>
      <c r="D19" s="100">
        <f>'[1]Income Statement'!$E$46</f>
        <v>1794738.18</v>
      </c>
      <c r="E19" s="100">
        <v>7120700.459999999</v>
      </c>
      <c r="F19" s="100">
        <v>5149783.96</v>
      </c>
      <c r="G19" s="100">
        <v>2050308.8699999999</v>
      </c>
      <c r="H19" s="100">
        <v>1390169.71</v>
      </c>
      <c r="I19" s="100">
        <v>1594000</v>
      </c>
      <c r="J19" s="100">
        <v>2033333.86</v>
      </c>
      <c r="K19" s="100">
        <v>1106000</v>
      </c>
      <c r="L19" s="100">
        <v>1037089.79</v>
      </c>
      <c r="M19" s="100">
        <v>2133721.04</v>
      </c>
      <c r="N19" s="100">
        <v>2338590.8600000003</v>
      </c>
      <c r="O19" s="100">
        <v>1600000</v>
      </c>
      <c r="P19" s="100">
        <v>1622758.0999999999</v>
      </c>
      <c r="Q19" s="100">
        <v>10392093.23</v>
      </c>
      <c r="R19" s="100">
        <v>3771379.98</v>
      </c>
      <c r="S19" s="100">
        <v>2428905.3699999996</v>
      </c>
      <c r="T19" s="100">
        <v>2036069.72</v>
      </c>
      <c r="U19" s="100">
        <v>4410434.0299999993</v>
      </c>
      <c r="V19" s="100">
        <v>6694219.879999999</v>
      </c>
      <c r="W19" s="100">
        <v>2551661.3099999996</v>
      </c>
      <c r="X19" s="100">
        <v>3204046.7600000002</v>
      </c>
      <c r="Z19" s="99">
        <v>1970916.4999999991</v>
      </c>
      <c r="AA19" s="99">
        <v>3099475.09</v>
      </c>
      <c r="AB19" s="99">
        <v>660139.15999999992</v>
      </c>
      <c r="AC19" s="99">
        <v>1390169.71</v>
      </c>
      <c r="AD19" s="99">
        <v>-439333.8600000001</v>
      </c>
      <c r="AE19" s="99">
        <v>927333.8600000001</v>
      </c>
      <c r="AF19" s="99">
        <v>68910.209999999963</v>
      </c>
      <c r="AG19" s="99">
        <v>1037089.79</v>
      </c>
      <c r="AH19" s="99">
        <v>-204869.8200000003</v>
      </c>
      <c r="AI19" s="99">
        <v>738590.86000000034</v>
      </c>
      <c r="AJ19" s="99">
        <v>-22758.09999999986</v>
      </c>
      <c r="AK19" s="99">
        <v>1622758.0999999999</v>
      </c>
      <c r="AL19" s="99">
        <v>6620713.25</v>
      </c>
      <c r="AM19" s="99">
        <v>1342474.6100000003</v>
      </c>
      <c r="AN19" s="99">
        <v>392835.64999999967</v>
      </c>
      <c r="AO19" s="99">
        <v>2036069.72</v>
      </c>
      <c r="AP19" s="99">
        <v>-2283785.8499999996</v>
      </c>
      <c r="AQ19" s="99">
        <v>4142558.5699999994</v>
      </c>
      <c r="AR19" s="99">
        <v>-652385.45000000065</v>
      </c>
      <c r="AS19" s="100">
        <v>3204046.7600000002</v>
      </c>
    </row>
    <row r="20" spans="2:45" ht="5.5" customHeight="1">
      <c r="B20" s="91"/>
      <c r="C20" s="9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2"/>
    </row>
    <row r="21" spans="2:45">
      <c r="B21" s="117" t="s">
        <v>234</v>
      </c>
      <c r="C21" s="118" t="s">
        <v>233</v>
      </c>
      <c r="D21" s="120">
        <f t="shared" ref="D21" si="1">D18-D19</f>
        <v>1331140.1900000002</v>
      </c>
      <c r="E21" s="120">
        <v>-790769.80999999866</v>
      </c>
      <c r="F21" s="120">
        <v>189204.58999999892</v>
      </c>
      <c r="G21" s="120">
        <v>-108676.10000000033</v>
      </c>
      <c r="H21" s="120">
        <v>140259.99000000022</v>
      </c>
      <c r="I21" s="120">
        <v>924000</v>
      </c>
      <c r="J21" s="120">
        <v>1322530.26</v>
      </c>
      <c r="K21" s="120">
        <v>843000</v>
      </c>
      <c r="L21" s="120">
        <v>-73336.420000000042</v>
      </c>
      <c r="M21" s="120">
        <v>19465863.919999998</v>
      </c>
      <c r="N21" s="120">
        <v>7007639.9400000004</v>
      </c>
      <c r="O21" s="120">
        <v>3326000</v>
      </c>
      <c r="P21" s="120">
        <v>132912.98000000021</v>
      </c>
      <c r="Q21" s="120">
        <v>-3662369.09</v>
      </c>
      <c r="R21" s="120">
        <v>1598005.4600000004</v>
      </c>
      <c r="S21" s="120">
        <v>965419.7200000002</v>
      </c>
      <c r="T21" s="120">
        <v>737756.8199999996</v>
      </c>
      <c r="U21" s="120">
        <v>1333265.3500000006</v>
      </c>
      <c r="V21" s="120">
        <v>2801943.9700000007</v>
      </c>
      <c r="W21" s="120">
        <v>1973560.2200000016</v>
      </c>
      <c r="X21" s="120">
        <v>-414487.03000000026</v>
      </c>
      <c r="Z21" s="119">
        <v>-979974.39999999758</v>
      </c>
      <c r="AA21" s="119">
        <v>297880.68999999948</v>
      </c>
      <c r="AB21" s="119">
        <v>-248936.09000000055</v>
      </c>
      <c r="AC21" s="119">
        <v>140259.99000000022</v>
      </c>
      <c r="AD21" s="119">
        <v>-398530.26</v>
      </c>
      <c r="AE21" s="119">
        <v>479530.26</v>
      </c>
      <c r="AF21" s="119">
        <v>916336.42</v>
      </c>
      <c r="AG21" s="119">
        <v>-73336.420000000042</v>
      </c>
      <c r="AH21" s="119">
        <v>12458223.979999997</v>
      </c>
      <c r="AI21" s="119">
        <v>3681639.9400000004</v>
      </c>
      <c r="AJ21" s="119">
        <v>3193087.0199999996</v>
      </c>
      <c r="AK21" s="119">
        <v>132912.98000000021</v>
      </c>
      <c r="AL21" s="119">
        <v>-5260374.55</v>
      </c>
      <c r="AM21" s="119">
        <v>632585.74000000022</v>
      </c>
      <c r="AN21" s="119">
        <v>227662.90000000061</v>
      </c>
      <c r="AO21" s="119">
        <v>737756.8199999996</v>
      </c>
      <c r="AP21" s="119">
        <v>-1468678.62</v>
      </c>
      <c r="AQ21" s="119">
        <v>828383.74999999907</v>
      </c>
      <c r="AR21" s="119">
        <v>2388047.2500000019</v>
      </c>
      <c r="AS21" s="120">
        <v>-414487.03000000026</v>
      </c>
    </row>
    <row r="22" spans="2:45" ht="5.5" customHeight="1" thickBot="1">
      <c r="B22" s="93"/>
      <c r="C22" s="9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4"/>
    </row>
    <row r="23" spans="2:45" ht="11" thickBot="1">
      <c r="B23" s="95" t="s">
        <v>227</v>
      </c>
      <c r="C23" s="96" t="s">
        <v>228</v>
      </c>
      <c r="D23" s="106">
        <f t="shared" ref="D23" si="2">D12-SUM(D14:D16)+D21</f>
        <v>-4645528.3500000006</v>
      </c>
      <c r="E23" s="106">
        <v>11184762.469999988</v>
      </c>
      <c r="F23" s="106">
        <v>6712622.9200000046</v>
      </c>
      <c r="G23" s="106">
        <v>1801586.7699999821</v>
      </c>
      <c r="H23" s="106">
        <v>-3869112.819999991</v>
      </c>
      <c r="I23" s="106">
        <v>-8159501.0299999937</v>
      </c>
      <c r="J23" s="106">
        <v>-10045808.989999993</v>
      </c>
      <c r="K23" s="106">
        <v>-6978440.5300000012</v>
      </c>
      <c r="L23" s="106">
        <v>-5167813.6400000006</v>
      </c>
      <c r="M23" s="106">
        <v>13511266.299999993</v>
      </c>
      <c r="N23" s="106">
        <v>3059355.5500000296</v>
      </c>
      <c r="O23" s="106">
        <v>5864218.5800000057</v>
      </c>
      <c r="P23" s="106">
        <v>2357467.9599999972</v>
      </c>
      <c r="Q23" s="106">
        <v>21043137.209999997</v>
      </c>
      <c r="R23" s="106">
        <v>10662228.699999988</v>
      </c>
      <c r="S23" s="106">
        <v>6796608.5600000191</v>
      </c>
      <c r="T23" s="106">
        <v>840195.54999999818</v>
      </c>
      <c r="U23" s="106">
        <v>14042490.399999976</v>
      </c>
      <c r="V23" s="106">
        <v>11217852.299999999</v>
      </c>
      <c r="W23" s="106">
        <v>2835192.2500000028</v>
      </c>
      <c r="X23" s="106">
        <v>300573.63999999966</v>
      </c>
      <c r="Z23" s="105">
        <v>4472139.5499999868</v>
      </c>
      <c r="AA23" s="105">
        <v>4911036.1500000115</v>
      </c>
      <c r="AB23" s="105">
        <v>5670699.5899999766</v>
      </c>
      <c r="AC23" s="105">
        <v>-3869112.819999991</v>
      </c>
      <c r="AD23" s="105">
        <v>1886307.9599999988</v>
      </c>
      <c r="AE23" s="105">
        <v>-3067368.459999999</v>
      </c>
      <c r="AF23" s="105">
        <v>-1810626.8899999987</v>
      </c>
      <c r="AG23" s="105">
        <v>-5167813.6400000006</v>
      </c>
      <c r="AH23" s="105">
        <v>10451910.749999963</v>
      </c>
      <c r="AI23" s="105">
        <v>-2804863.0299999723</v>
      </c>
      <c r="AJ23" s="105">
        <v>3506750.6200000048</v>
      </c>
      <c r="AK23" s="105">
        <v>2357467.9599999972</v>
      </c>
      <c r="AL23" s="105">
        <v>10380908.509999998</v>
      </c>
      <c r="AM23" s="105">
        <v>3865620.1399999764</v>
      </c>
      <c r="AN23" s="105">
        <v>5956413.0100000147</v>
      </c>
      <c r="AO23" s="105">
        <v>840195.54999999818</v>
      </c>
      <c r="AP23" s="105">
        <v>2824638.0999999614</v>
      </c>
      <c r="AQ23" s="105">
        <v>8382660.0499999961</v>
      </c>
      <c r="AR23" s="105">
        <v>2534618.6100000124</v>
      </c>
      <c r="AS23" s="106">
        <v>300573.63999999966</v>
      </c>
    </row>
    <row r="24" spans="2:45" ht="5.5" customHeight="1">
      <c r="B24" s="75"/>
      <c r="C24" s="76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8"/>
    </row>
    <row r="25" spans="2:45">
      <c r="B25" s="79" t="s">
        <v>20</v>
      </c>
      <c r="C25" s="80" t="s">
        <v>229</v>
      </c>
      <c r="D25" s="100">
        <f>'[1]Income Statement'!$E$80</f>
        <v>749137.27999999991</v>
      </c>
      <c r="E25" s="100">
        <v>1026590.78</v>
      </c>
      <c r="F25" s="100">
        <v>848059.85</v>
      </c>
      <c r="G25" s="100">
        <v>576562.82999999996</v>
      </c>
      <c r="H25" s="100">
        <v>292507.63</v>
      </c>
      <c r="I25" s="100">
        <v>2833388.6000000006</v>
      </c>
      <c r="J25" s="100">
        <v>2873768.3499999992</v>
      </c>
      <c r="K25" s="100">
        <v>2316261.0599999996</v>
      </c>
      <c r="L25" s="100">
        <v>1956770.9400000002</v>
      </c>
      <c r="M25" s="100">
        <v>1751844.1900000002</v>
      </c>
      <c r="N25" s="100">
        <v>1008786.72</v>
      </c>
      <c r="O25" s="100">
        <v>967000.75000000035</v>
      </c>
      <c r="P25" s="100">
        <v>500426.27</v>
      </c>
      <c r="Q25" s="100">
        <v>1102593.1499999999</v>
      </c>
      <c r="R25" s="100">
        <v>753078.29</v>
      </c>
      <c r="S25" s="100">
        <v>429540.66</v>
      </c>
      <c r="T25" s="100">
        <v>165693.6</v>
      </c>
      <c r="U25" s="100">
        <v>415425.64</v>
      </c>
      <c r="V25" s="100">
        <v>302553.26</v>
      </c>
      <c r="W25" s="100">
        <v>1742644.4000000004</v>
      </c>
      <c r="X25" s="100">
        <v>100184.63</v>
      </c>
      <c r="Z25" s="99">
        <v>178530.93000000005</v>
      </c>
      <c r="AA25" s="99">
        <v>271497.02</v>
      </c>
      <c r="AB25" s="99">
        <v>284055.19999999995</v>
      </c>
      <c r="AC25" s="99">
        <v>292507.63</v>
      </c>
      <c r="AD25" s="99">
        <v>-40379.749999998603</v>
      </c>
      <c r="AE25" s="99">
        <v>557507.28999999957</v>
      </c>
      <c r="AF25" s="99">
        <v>359490.11999999941</v>
      </c>
      <c r="AG25" s="99">
        <v>1956770.9400000002</v>
      </c>
      <c r="AH25" s="99">
        <v>743057.4700000002</v>
      </c>
      <c r="AI25" s="99">
        <v>41785.969999999623</v>
      </c>
      <c r="AJ25" s="99">
        <v>466574.48000000033</v>
      </c>
      <c r="AK25" s="99">
        <v>500426.27</v>
      </c>
      <c r="AL25" s="99">
        <v>349514.85999999987</v>
      </c>
      <c r="AM25" s="99">
        <v>323537.63000000006</v>
      </c>
      <c r="AN25" s="99">
        <v>263847.05999999994</v>
      </c>
      <c r="AO25" s="99">
        <v>165693.6</v>
      </c>
      <c r="AP25" s="99">
        <v>112872.38</v>
      </c>
      <c r="AQ25" s="99">
        <v>-1440091.1400000004</v>
      </c>
      <c r="AR25" s="99">
        <v>1642459.7700000005</v>
      </c>
      <c r="AS25" s="100">
        <v>100184.63</v>
      </c>
    </row>
    <row r="26" spans="2:45">
      <c r="B26" s="79" t="s">
        <v>21</v>
      </c>
      <c r="C26" s="80" t="s">
        <v>230</v>
      </c>
      <c r="D26" s="100">
        <f>'[1]Income Statement'!$E$118</f>
        <v>1752831.6199999999</v>
      </c>
      <c r="E26" s="100">
        <v>6882137.8900000006</v>
      </c>
      <c r="F26" s="100">
        <v>5629302.9699999997</v>
      </c>
      <c r="G26" s="100">
        <v>4141080.24</v>
      </c>
      <c r="H26" s="100">
        <v>2392601.41</v>
      </c>
      <c r="I26" s="100">
        <v>9121303.2999999989</v>
      </c>
      <c r="J26" s="100">
        <v>6122464.8499999996</v>
      </c>
      <c r="K26" s="100">
        <v>4169822.2699999991</v>
      </c>
      <c r="L26" s="100">
        <v>1932470.65</v>
      </c>
      <c r="M26" s="100">
        <v>9442579.4400000013</v>
      </c>
      <c r="N26" s="100">
        <v>6959600.3300000001</v>
      </c>
      <c r="O26" s="100">
        <v>4594976.62</v>
      </c>
      <c r="P26" s="100">
        <v>2272777.9</v>
      </c>
      <c r="Q26" s="100">
        <v>17239514.670000002</v>
      </c>
      <c r="R26" s="100">
        <v>13444525.399999999</v>
      </c>
      <c r="S26" s="100">
        <v>7366147.9399999995</v>
      </c>
      <c r="T26" s="100">
        <v>2577878.09</v>
      </c>
      <c r="U26" s="100">
        <v>6931108.2599999998</v>
      </c>
      <c r="V26" s="100">
        <v>4525328.5600000005</v>
      </c>
      <c r="W26" s="100">
        <v>2900172.0900000003</v>
      </c>
      <c r="X26" s="100">
        <v>3051440.02</v>
      </c>
      <c r="Z26" s="99">
        <v>1252834.9200000009</v>
      </c>
      <c r="AA26" s="99">
        <v>1488222.7299999995</v>
      </c>
      <c r="AB26" s="99">
        <v>1748478.83</v>
      </c>
      <c r="AC26" s="99">
        <v>2392601.41</v>
      </c>
      <c r="AD26" s="99">
        <v>2998838.4499999993</v>
      </c>
      <c r="AE26" s="99">
        <v>1952642.5800000005</v>
      </c>
      <c r="AF26" s="99">
        <v>2237351.6199999992</v>
      </c>
      <c r="AG26" s="99">
        <v>1932470.65</v>
      </c>
      <c r="AH26" s="99">
        <v>2482979.1100000013</v>
      </c>
      <c r="AI26" s="99">
        <v>2364623.71</v>
      </c>
      <c r="AJ26" s="99">
        <v>2322198.7200000002</v>
      </c>
      <c r="AK26" s="99">
        <v>2272777.9</v>
      </c>
      <c r="AL26" s="99">
        <v>3794989.2700000033</v>
      </c>
      <c r="AM26" s="99">
        <v>6078377.459999999</v>
      </c>
      <c r="AN26" s="99">
        <v>4788269.8499999996</v>
      </c>
      <c r="AO26" s="99">
        <v>2577878.09</v>
      </c>
      <c r="AP26" s="99">
        <v>2405779.6999999993</v>
      </c>
      <c r="AQ26" s="99">
        <v>1625156.4700000002</v>
      </c>
      <c r="AR26" s="99">
        <v>-151267.9299999997</v>
      </c>
      <c r="AS26" s="100">
        <v>3051440.02</v>
      </c>
    </row>
    <row r="27" spans="2:45" ht="5.5" customHeight="1">
      <c r="B27" s="91"/>
      <c r="C27" s="9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2"/>
    </row>
    <row r="28" spans="2:45">
      <c r="B28" s="117" t="s">
        <v>231</v>
      </c>
      <c r="C28" s="118" t="s">
        <v>232</v>
      </c>
      <c r="D28" s="120">
        <f t="shared" ref="D28" si="3">D25-D26</f>
        <v>-1003694.34</v>
      </c>
      <c r="E28" s="120">
        <v>-5855547.1100000003</v>
      </c>
      <c r="F28" s="120">
        <v>-4781243.12</v>
      </c>
      <c r="G28" s="120">
        <v>-3564517.41</v>
      </c>
      <c r="H28" s="120">
        <v>-2100093.7800000003</v>
      </c>
      <c r="I28" s="120">
        <v>-6287914.6999999983</v>
      </c>
      <c r="J28" s="120">
        <v>-3248696.5000000005</v>
      </c>
      <c r="K28" s="120">
        <v>-1853561.2099999995</v>
      </c>
      <c r="L28" s="120">
        <v>24300.29000000027</v>
      </c>
      <c r="M28" s="120">
        <v>-7690735.2500000009</v>
      </c>
      <c r="N28" s="120">
        <v>-5950813.6100000003</v>
      </c>
      <c r="O28" s="120">
        <v>-3627975.8699999996</v>
      </c>
      <c r="P28" s="120">
        <v>-1772351.63</v>
      </c>
      <c r="Q28" s="120">
        <v>-16136921.520000001</v>
      </c>
      <c r="R28" s="120">
        <v>-12691447.109999999</v>
      </c>
      <c r="S28" s="120">
        <v>-6936607.2799999993</v>
      </c>
      <c r="T28" s="120">
        <v>-2412184.4899999998</v>
      </c>
      <c r="U28" s="120">
        <v>-6515682.6200000001</v>
      </c>
      <c r="V28" s="120">
        <v>-4222775.3000000007</v>
      </c>
      <c r="W28" s="120">
        <v>-1157527.69</v>
      </c>
      <c r="X28" s="120">
        <v>-2951255.39</v>
      </c>
      <c r="Z28" s="119">
        <v>-1074303.9900000007</v>
      </c>
      <c r="AA28" s="119">
        <v>-1216725.7099999995</v>
      </c>
      <c r="AB28" s="119">
        <v>-1464423.6300000001</v>
      </c>
      <c r="AC28" s="119">
        <v>-2100093.7800000003</v>
      </c>
      <c r="AD28" s="119">
        <v>-3039218.1999999979</v>
      </c>
      <c r="AE28" s="119">
        <v>-1395135.290000001</v>
      </c>
      <c r="AF28" s="119">
        <v>-1877861.4999999998</v>
      </c>
      <c r="AG28" s="119">
        <v>24300.29000000027</v>
      </c>
      <c r="AH28" s="119">
        <v>-1739921.6400000011</v>
      </c>
      <c r="AI28" s="119">
        <v>-2322837.7400000002</v>
      </c>
      <c r="AJ28" s="119">
        <v>-1855624.2399999998</v>
      </c>
      <c r="AK28" s="119">
        <v>-1772351.63</v>
      </c>
      <c r="AL28" s="119">
        <v>-3445474.4100000034</v>
      </c>
      <c r="AM28" s="119">
        <v>-5754839.8299999991</v>
      </c>
      <c r="AN28" s="119">
        <v>-4524422.79</v>
      </c>
      <c r="AO28" s="119">
        <v>-2412184.4899999998</v>
      </c>
      <c r="AP28" s="119">
        <v>-2292907.3199999994</v>
      </c>
      <c r="AQ28" s="119">
        <v>-3065247.6100000003</v>
      </c>
      <c r="AR28" s="119">
        <v>1793727.7000000002</v>
      </c>
      <c r="AS28" s="120">
        <v>-2951255.39</v>
      </c>
    </row>
    <row r="29" spans="2:45" ht="5.5" customHeight="1" thickBot="1">
      <c r="B29" s="75"/>
      <c r="C29" s="76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8"/>
    </row>
    <row r="30" spans="2:45" ht="11" thickBot="1">
      <c r="B30" s="95" t="s">
        <v>235</v>
      </c>
      <c r="C30" s="96" t="s">
        <v>236</v>
      </c>
      <c r="D30" s="106">
        <f>D23+D28</f>
        <v>-5649222.6900000004</v>
      </c>
      <c r="E30" s="106">
        <v>5329215.3599999873</v>
      </c>
      <c r="F30" s="106">
        <v>1931379.8000000045</v>
      </c>
      <c r="G30" s="106">
        <v>-1762930.6400000181</v>
      </c>
      <c r="H30" s="106">
        <v>-5969206.5999999912</v>
      </c>
      <c r="I30" s="106">
        <v>-14447415.729999993</v>
      </c>
      <c r="J30" s="106">
        <v>-13294505.489999993</v>
      </c>
      <c r="K30" s="106">
        <v>-8832001.7400000002</v>
      </c>
      <c r="L30" s="106">
        <v>-5143513.3500000006</v>
      </c>
      <c r="M30" s="106">
        <v>5820531.0499999924</v>
      </c>
      <c r="N30" s="106">
        <v>-2891458.0599999707</v>
      </c>
      <c r="O30" s="106">
        <v>2236242.710000006</v>
      </c>
      <c r="P30" s="106">
        <v>585116.32999999728</v>
      </c>
      <c r="Q30" s="106">
        <v>4906215.6899999958</v>
      </c>
      <c r="R30" s="106">
        <v>-2029218.4100000113</v>
      </c>
      <c r="S30" s="106">
        <v>-139998.71999998018</v>
      </c>
      <c r="T30" s="106">
        <v>-1571988.9400000016</v>
      </c>
      <c r="U30" s="106">
        <v>7526807.779999976</v>
      </c>
      <c r="V30" s="106">
        <v>6995076.9999999981</v>
      </c>
      <c r="W30" s="106">
        <v>1677664.5600000028</v>
      </c>
      <c r="X30" s="106">
        <v>-2650681.7500000005</v>
      </c>
      <c r="Z30" s="105">
        <v>3397835.5599999861</v>
      </c>
      <c r="AA30" s="105">
        <v>3694310.4400000121</v>
      </c>
      <c r="AB30" s="105">
        <v>4206275.9599999767</v>
      </c>
      <c r="AC30" s="105">
        <v>-5969206.5999999912</v>
      </c>
      <c r="AD30" s="105">
        <v>-1152910.2399999991</v>
      </c>
      <c r="AE30" s="105">
        <v>-4462503.75</v>
      </c>
      <c r="AF30" s="105">
        <v>-3688488.3899999987</v>
      </c>
      <c r="AG30" s="105">
        <v>-5143513.3500000006</v>
      </c>
      <c r="AH30" s="105">
        <v>8711989.1099999622</v>
      </c>
      <c r="AI30" s="105">
        <v>-5127700.7699999725</v>
      </c>
      <c r="AJ30" s="105">
        <v>1651126.380000005</v>
      </c>
      <c r="AK30" s="105">
        <v>585116.32999999728</v>
      </c>
      <c r="AL30" s="105">
        <v>6935434.099999994</v>
      </c>
      <c r="AM30" s="105">
        <v>-1889219.6900000228</v>
      </c>
      <c r="AN30" s="105">
        <v>1431990.2200000146</v>
      </c>
      <c r="AO30" s="105">
        <v>-1571988.9400000016</v>
      </c>
      <c r="AP30" s="105">
        <v>531730.77999996208</v>
      </c>
      <c r="AQ30" s="105">
        <v>5317412.4399999958</v>
      </c>
      <c r="AR30" s="105">
        <v>4328346.3100000126</v>
      </c>
      <c r="AS30" s="106">
        <v>-2650681.7500000005</v>
      </c>
    </row>
    <row r="31" spans="2:45" ht="5.5" customHeight="1">
      <c r="B31" s="75"/>
      <c r="C31" s="76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8"/>
    </row>
    <row r="32" spans="2:45">
      <c r="B32" s="79" t="s">
        <v>237</v>
      </c>
      <c r="C32" s="80" t="s">
        <v>239</v>
      </c>
      <c r="D32" s="100">
        <f>'[1]Income Statement'!$E$159</f>
        <v>0</v>
      </c>
      <c r="E32" s="100">
        <v>0</v>
      </c>
      <c r="F32" s="100">
        <v>0</v>
      </c>
      <c r="G32" s="100">
        <v>0</v>
      </c>
      <c r="H32" s="100">
        <v>0</v>
      </c>
      <c r="I32" s="100">
        <v>0</v>
      </c>
      <c r="J32" s="100">
        <v>-956961</v>
      </c>
      <c r="K32" s="100">
        <v>-641726</v>
      </c>
      <c r="L32" s="100">
        <v>-487686</v>
      </c>
      <c r="M32" s="100">
        <v>4627994</v>
      </c>
      <c r="N32" s="100">
        <v>1245820</v>
      </c>
      <c r="O32" s="100">
        <v>1362948</v>
      </c>
      <c r="P32" s="100">
        <v>819182</v>
      </c>
      <c r="Q32" s="100">
        <v>3105349</v>
      </c>
      <c r="R32" s="100">
        <v>978200</v>
      </c>
      <c r="S32" s="100">
        <v>1053072</v>
      </c>
      <c r="T32" s="100">
        <v>1268827</v>
      </c>
      <c r="U32" s="100">
        <v>4904612</v>
      </c>
      <c r="V32" s="100">
        <v>3908159</v>
      </c>
      <c r="W32" s="100">
        <v>0</v>
      </c>
      <c r="X32" s="100">
        <v>0</v>
      </c>
      <c r="Z32" s="99">
        <v>0</v>
      </c>
      <c r="AA32" s="99">
        <v>0</v>
      </c>
      <c r="AB32" s="99">
        <v>0</v>
      </c>
      <c r="AC32" s="99">
        <v>0</v>
      </c>
      <c r="AD32" s="99">
        <v>956961</v>
      </c>
      <c r="AE32" s="99">
        <v>-315235</v>
      </c>
      <c r="AF32" s="99">
        <v>-154040</v>
      </c>
      <c r="AG32" s="99">
        <v>-487686</v>
      </c>
      <c r="AH32" s="99">
        <v>3382174</v>
      </c>
      <c r="AI32" s="99">
        <v>-117128</v>
      </c>
      <c r="AJ32" s="99">
        <v>543766</v>
      </c>
      <c r="AK32" s="99">
        <v>819182</v>
      </c>
      <c r="AL32" s="99">
        <v>2127149</v>
      </c>
      <c r="AM32" s="99">
        <v>-74872</v>
      </c>
      <c r="AN32" s="99">
        <v>-215755</v>
      </c>
      <c r="AO32" s="99">
        <v>1268827</v>
      </c>
      <c r="AP32" s="99">
        <v>996453</v>
      </c>
      <c r="AQ32" s="99">
        <v>3908159</v>
      </c>
      <c r="AR32" s="99">
        <v>0</v>
      </c>
      <c r="AS32" s="100">
        <v>0</v>
      </c>
    </row>
    <row r="33" spans="2:45">
      <c r="B33" s="79" t="s">
        <v>238</v>
      </c>
      <c r="C33" s="80" t="s">
        <v>240</v>
      </c>
      <c r="D33" s="100">
        <f>'[1]Income Statement'!$E$160</f>
        <v>-80336</v>
      </c>
      <c r="E33" s="100">
        <v>3876754</v>
      </c>
      <c r="F33" s="100">
        <v>3002844</v>
      </c>
      <c r="G33" s="100">
        <v>1220181</v>
      </c>
      <c r="H33" s="100">
        <v>-466583</v>
      </c>
      <c r="I33" s="100">
        <v>4030706</v>
      </c>
      <c r="J33" s="100">
        <v>0</v>
      </c>
      <c r="K33" s="100">
        <v>0</v>
      </c>
      <c r="L33" s="100">
        <v>0</v>
      </c>
      <c r="M33" s="100">
        <v>0</v>
      </c>
      <c r="N33" s="100">
        <v>0</v>
      </c>
      <c r="O33" s="100">
        <v>0</v>
      </c>
      <c r="P33" s="100">
        <v>0</v>
      </c>
      <c r="Q33" s="100">
        <v>0</v>
      </c>
      <c r="R33" s="100">
        <v>0</v>
      </c>
      <c r="S33" s="100">
        <v>0</v>
      </c>
      <c r="T33" s="100">
        <v>0</v>
      </c>
      <c r="U33" s="100">
        <v>0</v>
      </c>
      <c r="V33" s="100">
        <v>0</v>
      </c>
      <c r="W33" s="100">
        <v>2891698</v>
      </c>
      <c r="X33" s="100">
        <v>2261264</v>
      </c>
      <c r="Z33" s="99">
        <v>873910</v>
      </c>
      <c r="AA33" s="99">
        <v>1782663</v>
      </c>
      <c r="AB33" s="99">
        <v>1686764</v>
      </c>
      <c r="AC33" s="99">
        <v>-466583</v>
      </c>
      <c r="AD33" s="99">
        <v>4030706</v>
      </c>
      <c r="AE33" s="99">
        <v>0</v>
      </c>
      <c r="AF33" s="99">
        <v>0</v>
      </c>
      <c r="AG33" s="99">
        <v>0</v>
      </c>
      <c r="AH33" s="99">
        <v>0</v>
      </c>
      <c r="AI33" s="99">
        <v>0</v>
      </c>
      <c r="AJ33" s="99">
        <v>0</v>
      </c>
      <c r="AK33" s="99">
        <v>0</v>
      </c>
      <c r="AL33" s="99">
        <v>0</v>
      </c>
      <c r="AM33" s="99">
        <v>0</v>
      </c>
      <c r="AN33" s="99">
        <v>0</v>
      </c>
      <c r="AO33" s="99">
        <v>0</v>
      </c>
      <c r="AP33" s="99">
        <v>0</v>
      </c>
      <c r="AQ33" s="99">
        <v>-2891698</v>
      </c>
      <c r="AR33" s="99">
        <v>630434</v>
      </c>
      <c r="AS33" s="100">
        <v>2261264</v>
      </c>
    </row>
    <row r="34" spans="2:45" ht="5.5" customHeight="1">
      <c r="B34" s="75"/>
      <c r="C34" s="76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8"/>
    </row>
    <row r="35" spans="2:45">
      <c r="B35" s="117" t="s">
        <v>241</v>
      </c>
      <c r="C35" s="118" t="s">
        <v>242</v>
      </c>
      <c r="D35" s="120">
        <f t="shared" ref="D35" si="4">D32+D33</f>
        <v>-80336</v>
      </c>
      <c r="E35" s="120">
        <v>3876754</v>
      </c>
      <c r="F35" s="120">
        <v>3002844</v>
      </c>
      <c r="G35" s="120">
        <v>1220181</v>
      </c>
      <c r="H35" s="120">
        <v>-466583</v>
      </c>
      <c r="I35" s="120">
        <v>4030706</v>
      </c>
      <c r="J35" s="120">
        <v>-956961</v>
      </c>
      <c r="K35" s="120">
        <v>-641726</v>
      </c>
      <c r="L35" s="120">
        <v>-487686</v>
      </c>
      <c r="M35" s="120">
        <v>4627994</v>
      </c>
      <c r="N35" s="120">
        <v>1245820</v>
      </c>
      <c r="O35" s="120">
        <v>1362948</v>
      </c>
      <c r="P35" s="120">
        <v>819182</v>
      </c>
      <c r="Q35" s="120">
        <v>3105349</v>
      </c>
      <c r="R35" s="120">
        <v>978200</v>
      </c>
      <c r="S35" s="120">
        <v>1053072</v>
      </c>
      <c r="T35" s="120">
        <v>1268827</v>
      </c>
      <c r="U35" s="120">
        <v>4904612</v>
      </c>
      <c r="V35" s="120">
        <v>3908159</v>
      </c>
      <c r="W35" s="120">
        <v>2891698</v>
      </c>
      <c r="X35" s="120">
        <v>2261264</v>
      </c>
      <c r="Z35" s="119">
        <v>873910</v>
      </c>
      <c r="AA35" s="119">
        <v>1782663</v>
      </c>
      <c r="AB35" s="119">
        <v>1686764</v>
      </c>
      <c r="AC35" s="119">
        <v>-466583</v>
      </c>
      <c r="AD35" s="119">
        <v>4987667</v>
      </c>
      <c r="AE35" s="119">
        <v>-315235</v>
      </c>
      <c r="AF35" s="119">
        <v>-154040</v>
      </c>
      <c r="AG35" s="119">
        <v>-487686</v>
      </c>
      <c r="AH35" s="119">
        <v>3382174</v>
      </c>
      <c r="AI35" s="119">
        <v>-117128</v>
      </c>
      <c r="AJ35" s="119">
        <v>543766</v>
      </c>
      <c r="AK35" s="119">
        <v>819182</v>
      </c>
      <c r="AL35" s="119">
        <v>2127149</v>
      </c>
      <c r="AM35" s="119">
        <v>-74872</v>
      </c>
      <c r="AN35" s="119">
        <v>-215755</v>
      </c>
      <c r="AO35" s="119">
        <v>1268827</v>
      </c>
      <c r="AP35" s="119">
        <v>996453</v>
      </c>
      <c r="AQ35" s="119">
        <v>1016461</v>
      </c>
      <c r="AR35" s="119">
        <v>630434</v>
      </c>
      <c r="AS35" s="120">
        <v>2261264</v>
      </c>
    </row>
    <row r="36" spans="2:45" ht="5.5" customHeight="1" thickBot="1">
      <c r="B36" s="75"/>
      <c r="C36" s="76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8"/>
    </row>
    <row r="37" spans="2:45" ht="11" thickBot="1">
      <c r="B37" s="95" t="s">
        <v>243</v>
      </c>
      <c r="C37" s="96" t="s">
        <v>244</v>
      </c>
      <c r="D37" s="106">
        <f t="shared" ref="D37" si="5">D30-D35</f>
        <v>-5568886.6900000004</v>
      </c>
      <c r="E37" s="106">
        <v>1452461.3599999873</v>
      </c>
      <c r="F37" s="106">
        <v>-1071464.1999999955</v>
      </c>
      <c r="G37" s="106">
        <v>-2983111.6400000183</v>
      </c>
      <c r="H37" s="106">
        <v>-5502623.5999999912</v>
      </c>
      <c r="I37" s="106">
        <v>-18478121.729999993</v>
      </c>
      <c r="J37" s="106">
        <v>-12337544.489999993</v>
      </c>
      <c r="K37" s="106">
        <v>-8190275.7400000002</v>
      </c>
      <c r="L37" s="106">
        <v>-4655827.3500000006</v>
      </c>
      <c r="M37" s="106">
        <v>1192537.0499999924</v>
      </c>
      <c r="N37" s="106">
        <v>-4137278.0599999707</v>
      </c>
      <c r="O37" s="106">
        <v>873294.71000000602</v>
      </c>
      <c r="P37" s="106">
        <v>-234065.67000000272</v>
      </c>
      <c r="Q37" s="106">
        <v>1800866.6899999958</v>
      </c>
      <c r="R37" s="106">
        <v>-3007418.4100000113</v>
      </c>
      <c r="S37" s="106">
        <v>-1193070.7199999802</v>
      </c>
      <c r="T37" s="106">
        <v>-2840815.9400000013</v>
      </c>
      <c r="U37" s="106">
        <v>2622195.779999976</v>
      </c>
      <c r="V37" s="106">
        <v>3086917.9999999981</v>
      </c>
      <c r="W37" s="106">
        <v>-1214033.4399999972</v>
      </c>
      <c r="X37" s="106">
        <v>-4911945.75</v>
      </c>
      <c r="Z37" s="105">
        <v>2523925.5599999861</v>
      </c>
      <c r="AA37" s="105">
        <v>1911647.4400000121</v>
      </c>
      <c r="AB37" s="105">
        <v>2519511.9599999767</v>
      </c>
      <c r="AC37" s="105">
        <v>-5502623.5999999912</v>
      </c>
      <c r="AD37" s="105">
        <v>-6140577.2399999993</v>
      </c>
      <c r="AE37" s="105">
        <v>-4147268.75</v>
      </c>
      <c r="AF37" s="105">
        <v>-3534448.3899999987</v>
      </c>
      <c r="AG37" s="105">
        <v>-4655827.3500000006</v>
      </c>
      <c r="AH37" s="105">
        <v>5329815.1099999622</v>
      </c>
      <c r="AI37" s="105">
        <v>-5010572.7699999725</v>
      </c>
      <c r="AJ37" s="105">
        <v>1107360.380000005</v>
      </c>
      <c r="AK37" s="105">
        <v>-234065.67000000272</v>
      </c>
      <c r="AL37" s="105">
        <v>4808285.099999994</v>
      </c>
      <c r="AM37" s="105">
        <v>-1814347.6900000228</v>
      </c>
      <c r="AN37" s="105">
        <v>1647745.2200000146</v>
      </c>
      <c r="AO37" s="105">
        <v>-2840815.9400000013</v>
      </c>
      <c r="AP37" s="105">
        <v>-464722.22000003792</v>
      </c>
      <c r="AQ37" s="105">
        <v>4300951.4399999958</v>
      </c>
      <c r="AR37" s="105">
        <v>3697912.3100000126</v>
      </c>
      <c r="AS37" s="106">
        <v>-4911945.75</v>
      </c>
    </row>
  </sheetData>
  <pageMargins left="0.7" right="0.7" top="0.75" bottom="0.75" header="0.3" footer="0.3"/>
  <pageSetup paperSize="9" scale="1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55695-F97C-464A-B693-569FF4CAD8AC}">
  <sheetPr>
    <tabColor rgb="FF336699"/>
    <pageSetUpPr fitToPage="1"/>
  </sheetPr>
  <dimension ref="A2:Z70"/>
  <sheetViews>
    <sheetView showGridLines="0" topLeftCell="A16" workbookViewId="0">
      <selection activeCell="C34" sqref="C34"/>
    </sheetView>
  </sheetViews>
  <sheetFormatPr defaultColWidth="9.1796875" defaultRowHeight="10.5"/>
  <cols>
    <col min="1" max="1" width="2.81640625" style="73" customWidth="1"/>
    <col min="2" max="2" width="48.453125" style="73" customWidth="1"/>
    <col min="3" max="3" width="47.81640625" style="73" customWidth="1"/>
    <col min="4" max="5" width="13.453125" style="73" customWidth="1"/>
    <col min="6" max="6" width="11" style="73" customWidth="1"/>
    <col min="7" max="7" width="11.453125" style="73" customWidth="1"/>
    <col min="8" max="8" width="13.453125" style="73" customWidth="1"/>
    <col min="9" max="10" width="11" style="73" customWidth="1"/>
    <col min="11" max="11" width="11.453125" style="73" customWidth="1"/>
    <col min="12" max="12" width="13.453125" style="73" customWidth="1"/>
    <col min="13" max="14" width="11" style="73" customWidth="1"/>
    <col min="15" max="15" width="11.453125" style="73" customWidth="1"/>
    <col min="16" max="18" width="11" style="73" customWidth="1"/>
    <col min="19" max="19" width="11.453125" style="73" customWidth="1"/>
    <col min="20" max="20" width="11" style="73" customWidth="1"/>
    <col min="21" max="21" width="11.1796875" style="73" customWidth="1"/>
    <col min="22" max="22" width="11" style="73" customWidth="1"/>
    <col min="23" max="23" width="11.453125" style="73" customWidth="1"/>
    <col min="24" max="24" width="11" style="73" customWidth="1"/>
    <col min="25" max="26" width="0.54296875" style="73" customWidth="1"/>
    <col min="27" max="16384" width="9.1796875" style="73"/>
  </cols>
  <sheetData>
    <row r="2" spans="1:26">
      <c r="B2" s="90" t="s">
        <v>167</v>
      </c>
    </row>
    <row r="3" spans="1:26">
      <c r="B3" s="73" t="s">
        <v>318</v>
      </c>
    </row>
    <row r="5" spans="1:26" s="74" customFormat="1" ht="20.5" customHeight="1">
      <c r="A5" s="133"/>
      <c r="B5" s="134"/>
      <c r="C5" s="135"/>
      <c r="D5" s="137">
        <v>46112</v>
      </c>
      <c r="E5" s="136">
        <v>46022</v>
      </c>
      <c r="F5" s="137">
        <v>45930</v>
      </c>
      <c r="G5" s="137">
        <v>45838</v>
      </c>
      <c r="H5" s="137">
        <v>45747</v>
      </c>
      <c r="I5" s="136">
        <v>45657</v>
      </c>
      <c r="J5" s="137">
        <v>45565</v>
      </c>
      <c r="K5" s="137">
        <v>45473</v>
      </c>
      <c r="L5" s="137">
        <v>45382</v>
      </c>
      <c r="M5" s="136">
        <v>45291</v>
      </c>
      <c r="N5" s="137">
        <v>45199</v>
      </c>
      <c r="O5" s="137">
        <v>45107</v>
      </c>
      <c r="P5" s="137">
        <v>45016</v>
      </c>
      <c r="Q5" s="136">
        <v>44926</v>
      </c>
      <c r="R5" s="137">
        <v>44834</v>
      </c>
      <c r="S5" s="137">
        <v>44742</v>
      </c>
      <c r="T5" s="137">
        <v>44651</v>
      </c>
      <c r="U5" s="136">
        <v>44561</v>
      </c>
      <c r="V5" s="137">
        <v>44469</v>
      </c>
      <c r="W5" s="137">
        <v>44377</v>
      </c>
      <c r="X5" s="137">
        <v>44286</v>
      </c>
    </row>
    <row r="6" spans="1:26" ht="5.5" customHeight="1"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7"/>
      <c r="Y6" s="78"/>
      <c r="Z6" s="78"/>
    </row>
    <row r="7" spans="1:26">
      <c r="B7" s="75" t="s">
        <v>277</v>
      </c>
      <c r="C7" s="76" t="s">
        <v>246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78"/>
      <c r="Z7" s="78"/>
    </row>
    <row r="8" spans="1:26" ht="5.5" customHeight="1">
      <c r="B8" s="75"/>
      <c r="C8" s="76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78"/>
      <c r="Z8" s="78"/>
    </row>
    <row r="9" spans="1:26">
      <c r="B9" s="79" t="s">
        <v>247</v>
      </c>
      <c r="C9" s="80" t="s">
        <v>244</v>
      </c>
      <c r="D9" s="100">
        <f>'[1]Cash Flow'!$D$10</f>
        <v>-5568886.6900000013</v>
      </c>
      <c r="E9" s="100">
        <v>1452461.3599999985</v>
      </c>
      <c r="F9" s="100">
        <v>910014.51000001002</v>
      </c>
      <c r="G9" s="100">
        <v>-2983111.6400000118</v>
      </c>
      <c r="H9" s="100">
        <v>-5502623.5999999931</v>
      </c>
      <c r="I9" s="100">
        <v>-18478550.099999983</v>
      </c>
      <c r="J9" s="100">
        <v>-12337544.489999995</v>
      </c>
      <c r="K9" s="100">
        <v>-8190390.709999999</v>
      </c>
      <c r="L9" s="100">
        <v>-4655827.3500000024</v>
      </c>
      <c r="M9" s="100">
        <v>1192537.0499999812</v>
      </c>
      <c r="N9" s="100">
        <v>-4137278.0599999735</v>
      </c>
      <c r="O9" s="100">
        <v>873454.26000001049</v>
      </c>
      <c r="P9" s="100">
        <v>-234065.67000000644</v>
      </c>
      <c r="Q9" s="100">
        <v>1800866.689999992</v>
      </c>
      <c r="R9" s="100">
        <v>-3007418.4100000113</v>
      </c>
      <c r="S9" s="100">
        <v>-1193070.7199999746</v>
      </c>
      <c r="T9" s="100">
        <v>-2840815.939999999</v>
      </c>
      <c r="U9" s="100">
        <v>2622195.779999976</v>
      </c>
      <c r="V9" s="100">
        <v>3086917.9999999963</v>
      </c>
      <c r="W9" s="100">
        <v>-1214033.44</v>
      </c>
      <c r="X9" s="100">
        <v>-4911945.75</v>
      </c>
      <c r="Z9" s="81"/>
    </row>
    <row r="10" spans="1:26">
      <c r="B10" s="79" t="s">
        <v>17</v>
      </c>
      <c r="C10" s="80" t="s">
        <v>248</v>
      </c>
      <c r="D10" s="100">
        <f>'[1]Cash Flow'!$D$48</f>
        <v>28506080.039999999</v>
      </c>
      <c r="E10" s="100">
        <v>38058473.940000005</v>
      </c>
      <c r="F10" s="100">
        <v>28506080.039999999</v>
      </c>
      <c r="G10" s="100">
        <v>18981636.640000001</v>
      </c>
      <c r="H10" s="100">
        <v>9462832.3199999984</v>
      </c>
      <c r="I10" s="100">
        <v>36070342.700000003</v>
      </c>
      <c r="J10" s="100">
        <v>26698446.530000005</v>
      </c>
      <c r="K10" s="100">
        <v>17766723.579999998</v>
      </c>
      <c r="L10" s="100">
        <v>8889705.6899999995</v>
      </c>
      <c r="M10" s="100">
        <v>34746191.410000004</v>
      </c>
      <c r="N10" s="100">
        <v>25837214.130000003</v>
      </c>
      <c r="O10" s="100">
        <v>20011211.539999995</v>
      </c>
      <c r="P10" s="100">
        <v>8533802.5099999998</v>
      </c>
      <c r="Q10" s="100">
        <v>34194841.140000001</v>
      </c>
      <c r="R10" s="100">
        <v>25716821.43</v>
      </c>
      <c r="S10" s="100">
        <v>17272000.990000002</v>
      </c>
      <c r="T10" s="100">
        <v>8078511.8700000001</v>
      </c>
      <c r="U10" s="100">
        <v>31427432.91</v>
      </c>
      <c r="V10" s="100">
        <v>23483582.760000002</v>
      </c>
      <c r="W10" s="100">
        <v>15533202.560000001</v>
      </c>
      <c r="X10" s="100">
        <v>7636587.7299999995</v>
      </c>
      <c r="Z10" s="81"/>
    </row>
    <row r="11" spans="1:26">
      <c r="B11" s="79" t="s">
        <v>249</v>
      </c>
      <c r="C11" s="80" t="s">
        <v>250</v>
      </c>
      <c r="D11" s="100">
        <f>'[1]Cash Flow'!$D$49</f>
        <v>943339.56</v>
      </c>
      <c r="E11" s="100">
        <v>963862.90999999992</v>
      </c>
      <c r="F11" s="100">
        <v>943339.56</v>
      </c>
      <c r="G11" s="100">
        <v>801316.14000000036</v>
      </c>
      <c r="H11" s="100">
        <v>598871.98</v>
      </c>
      <c r="I11" s="100">
        <v>-1699268.9100000001</v>
      </c>
      <c r="J11" s="100">
        <v>-1972088.24</v>
      </c>
      <c r="K11" s="100">
        <v>-1717518.8</v>
      </c>
      <c r="L11" s="100">
        <v>-1658568.9900000002</v>
      </c>
      <c r="M11" s="100">
        <v>-2539901.2599999998</v>
      </c>
      <c r="N11" s="100">
        <v>-306873.54999999987</v>
      </c>
      <c r="O11" s="100">
        <v>-1003594.0599999998</v>
      </c>
      <c r="P11" s="100">
        <v>-464538.51999999996</v>
      </c>
      <c r="Q11" s="100">
        <v>2976503.05</v>
      </c>
      <c r="R11" s="100">
        <v>5259289.8</v>
      </c>
      <c r="S11" s="100">
        <v>1266460.4500000002</v>
      </c>
      <c r="T11" s="100">
        <v>-1408607.7199999997</v>
      </c>
      <c r="U11" s="100">
        <v>-191560.70000000019</v>
      </c>
      <c r="V11" s="100">
        <v>-589756.10999999987</v>
      </c>
      <c r="W11" s="100">
        <v>-1881380.6</v>
      </c>
      <c r="X11" s="100">
        <v>-3570404.6599999997</v>
      </c>
      <c r="Z11" s="81"/>
    </row>
    <row r="12" spans="1:26">
      <c r="B12" s="79" t="s">
        <v>251</v>
      </c>
      <c r="C12" s="80" t="s">
        <v>256</v>
      </c>
      <c r="D12" s="100">
        <f>'[1]Cash Flow'!$D$60</f>
        <v>2950339.9</v>
      </c>
      <c r="E12" s="100">
        <v>3259738.73</v>
      </c>
      <c r="F12" s="100">
        <v>2950339.9</v>
      </c>
      <c r="G12" s="100">
        <v>762719.8899999985</v>
      </c>
      <c r="H12" s="100">
        <v>-1117956.2100000016</v>
      </c>
      <c r="I12" s="100">
        <v>2703018.0099999988</v>
      </c>
      <c r="J12" s="100">
        <v>4094396.21</v>
      </c>
      <c r="K12" s="100">
        <v>2864932.5899999994</v>
      </c>
      <c r="L12" s="100">
        <v>1255522.17</v>
      </c>
      <c r="M12" s="100">
        <v>8356346.9100000001</v>
      </c>
      <c r="N12" s="100">
        <v>4983647.8099999996</v>
      </c>
      <c r="O12" s="100">
        <v>3334898.04</v>
      </c>
      <c r="P12" s="100">
        <v>1639598.7599999998</v>
      </c>
      <c r="Q12" s="100">
        <v>6093376.6499999994</v>
      </c>
      <c r="R12" s="100">
        <v>4202705.42</v>
      </c>
      <c r="S12" s="100">
        <v>2490966.0100000002</v>
      </c>
      <c r="T12" s="100">
        <v>1129958.54</v>
      </c>
      <c r="U12" s="100">
        <v>4340071.75</v>
      </c>
      <c r="V12" s="100">
        <v>2740228.3</v>
      </c>
      <c r="W12" s="100">
        <v>1649861.9000000001</v>
      </c>
      <c r="X12" s="100">
        <v>768574.5299999998</v>
      </c>
      <c r="Z12" s="81"/>
    </row>
    <row r="13" spans="1:26">
      <c r="B13" s="79" t="s">
        <v>252</v>
      </c>
      <c r="C13" s="80" t="s">
        <v>257</v>
      </c>
      <c r="D13" s="100">
        <f>'[1]Cash Flow'!$D$66</f>
        <v>142939.04999999999</v>
      </c>
      <c r="E13" s="100">
        <v>162055.04999999999</v>
      </c>
      <c r="F13" s="100">
        <v>142939.04999999999</v>
      </c>
      <c r="G13" s="100">
        <v>122920.26</v>
      </c>
      <c r="H13" s="100">
        <v>-56910.57</v>
      </c>
      <c r="I13" s="100">
        <v>34211.089999999997</v>
      </c>
      <c r="J13" s="100">
        <v>34211.089999999997</v>
      </c>
      <c r="K13" s="100">
        <v>34211.089999999997</v>
      </c>
      <c r="L13" s="100">
        <v>0</v>
      </c>
      <c r="M13" s="100">
        <v>-3098527.7499999995</v>
      </c>
      <c r="N13" s="100">
        <v>-3108157.7499999995</v>
      </c>
      <c r="O13" s="100">
        <v>-2948001.21</v>
      </c>
      <c r="P13" s="100">
        <v>-9329.9200000000419</v>
      </c>
      <c r="Q13" s="100">
        <v>1104697.1599999999</v>
      </c>
      <c r="R13" s="100">
        <v>1888952.22</v>
      </c>
      <c r="S13" s="100">
        <v>310859.80000000005</v>
      </c>
      <c r="T13" s="100">
        <v>2322.1799999999998</v>
      </c>
      <c r="U13" s="100">
        <v>-2738426.9299999997</v>
      </c>
      <c r="V13" s="100">
        <v>-2737726.9299999997</v>
      </c>
      <c r="W13" s="100">
        <v>-2738045.1400000006</v>
      </c>
      <c r="X13" s="100">
        <v>-126</v>
      </c>
      <c r="Z13" s="81"/>
    </row>
    <row r="14" spans="1:26">
      <c r="B14" s="79" t="s">
        <v>253</v>
      </c>
      <c r="C14" s="80" t="s">
        <v>258</v>
      </c>
      <c r="D14" s="100">
        <f>'[1]Cash Flow'!$D$82</f>
        <v>0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>
        <v>0</v>
      </c>
      <c r="P14" s="100">
        <v>0</v>
      </c>
      <c r="Q14" s="100">
        <v>0</v>
      </c>
      <c r="R14" s="100">
        <v>0</v>
      </c>
      <c r="S14" s="100">
        <v>0</v>
      </c>
      <c r="T14" s="100">
        <v>0</v>
      </c>
      <c r="U14" s="100">
        <v>0</v>
      </c>
      <c r="V14" s="100">
        <v>0</v>
      </c>
      <c r="W14" s="100">
        <v>0</v>
      </c>
      <c r="X14" s="100">
        <v>0</v>
      </c>
      <c r="Z14" s="81"/>
    </row>
    <row r="15" spans="1:26">
      <c r="B15" s="79" t="s">
        <v>254</v>
      </c>
      <c r="C15" s="80" t="s">
        <v>259</v>
      </c>
      <c r="D15" s="100">
        <f>'[1]Cash Flow'!$D$83</f>
        <v>0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100">
        <v>-1182306</v>
      </c>
      <c r="R15" s="100">
        <v>0</v>
      </c>
      <c r="S15" s="100">
        <v>0</v>
      </c>
      <c r="T15" s="100">
        <v>0</v>
      </c>
      <c r="U15" s="100">
        <v>0</v>
      </c>
      <c r="V15" s="100">
        <v>0</v>
      </c>
      <c r="W15" s="100">
        <v>0</v>
      </c>
      <c r="X15" s="100">
        <v>0</v>
      </c>
      <c r="Z15" s="81"/>
    </row>
    <row r="16" spans="1:26">
      <c r="B16" s="79" t="s">
        <v>255</v>
      </c>
      <c r="C16" s="80" t="s">
        <v>260</v>
      </c>
      <c r="D16" s="100">
        <f>'[1]Cash Flow'!$D$84</f>
        <v>0</v>
      </c>
      <c r="E16" s="100">
        <v>0</v>
      </c>
      <c r="F16" s="100">
        <v>0</v>
      </c>
      <c r="G16" s="100">
        <v>0</v>
      </c>
      <c r="H16" s="100">
        <v>0</v>
      </c>
      <c r="I16" s="100">
        <v>-3784045.23</v>
      </c>
      <c r="J16" s="100">
        <v>0</v>
      </c>
      <c r="K16" s="100">
        <v>0</v>
      </c>
      <c r="L16" s="100">
        <v>0</v>
      </c>
      <c r="M16" s="100">
        <v>0</v>
      </c>
      <c r="N16" s="100">
        <v>0</v>
      </c>
      <c r="O16" s="100">
        <v>0</v>
      </c>
      <c r="P16" s="100">
        <v>0</v>
      </c>
      <c r="Q16" s="100">
        <v>0</v>
      </c>
      <c r="R16" s="100">
        <v>0</v>
      </c>
      <c r="S16" s="100">
        <v>0</v>
      </c>
      <c r="T16" s="100">
        <v>0</v>
      </c>
      <c r="U16" s="100">
        <v>0</v>
      </c>
      <c r="V16" s="100">
        <v>0</v>
      </c>
      <c r="W16" s="100">
        <v>0</v>
      </c>
      <c r="X16" s="100">
        <v>0</v>
      </c>
      <c r="Z16" s="81"/>
    </row>
    <row r="17" spans="2:26" ht="5.5" customHeight="1">
      <c r="B17" s="75"/>
      <c r="C17" s="76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78"/>
      <c r="Z17" s="78"/>
    </row>
    <row r="18" spans="2:26" s="111" customFormat="1" ht="21">
      <c r="B18" s="122" t="s">
        <v>261</v>
      </c>
      <c r="C18" s="123" t="s">
        <v>262</v>
      </c>
      <c r="D18" s="124">
        <f t="shared" ref="D18" si="0">SUM(D9:D16)</f>
        <v>26973811.859999996</v>
      </c>
      <c r="E18" s="124">
        <v>43896591.989999995</v>
      </c>
      <c r="F18" s="124">
        <v>33452713.060000006</v>
      </c>
      <c r="G18" s="124">
        <v>17685481.289999988</v>
      </c>
      <c r="H18" s="124">
        <v>3384213.9200000032</v>
      </c>
      <c r="I18" s="124">
        <v>14845707.560000017</v>
      </c>
      <c r="J18" s="124">
        <v>16517421.100000009</v>
      </c>
      <c r="K18" s="124">
        <v>10757957.749999998</v>
      </c>
      <c r="L18" s="124">
        <v>3830831.5199999968</v>
      </c>
      <c r="M18" s="124">
        <v>38656646.359999985</v>
      </c>
      <c r="N18" s="124">
        <v>23268552.580000028</v>
      </c>
      <c r="O18" s="124">
        <v>20267968.570000004</v>
      </c>
      <c r="P18" s="124">
        <v>9465467.1599999946</v>
      </c>
      <c r="Q18" s="124">
        <v>44987978.689999983</v>
      </c>
      <c r="R18" s="124">
        <v>34060350.459999986</v>
      </c>
      <c r="S18" s="124">
        <v>20147216.530000031</v>
      </c>
      <c r="T18" s="124">
        <v>4961368.9300000016</v>
      </c>
      <c r="U18" s="124">
        <v>35459712.809999973</v>
      </c>
      <c r="V18" s="124">
        <v>25983246.02</v>
      </c>
      <c r="W18" s="124">
        <v>11349605.280000001</v>
      </c>
      <c r="X18" s="124">
        <v>-77314.150000000373</v>
      </c>
      <c r="Y18" s="125"/>
      <c r="Z18" s="126"/>
    </row>
    <row r="19" spans="2:26" ht="5.5" customHeight="1">
      <c r="B19" s="75"/>
      <c r="C19" s="76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78"/>
      <c r="Z19" s="78"/>
    </row>
    <row r="20" spans="2:26">
      <c r="B20" s="79" t="s">
        <v>263</v>
      </c>
      <c r="C20" s="80" t="s">
        <v>264</v>
      </c>
      <c r="D20" s="100">
        <f>'[1]Cash Flow'!$D$87</f>
        <v>-12516503.5</v>
      </c>
      <c r="E20" s="100">
        <v>-4787704.099999994</v>
      </c>
      <c r="F20" s="100">
        <v>22970004.75999999</v>
      </c>
      <c r="G20" s="100">
        <v>-8089031.25</v>
      </c>
      <c r="H20" s="100">
        <v>-817464.91999999806</v>
      </c>
      <c r="I20" s="100">
        <v>10349325.590000004</v>
      </c>
      <c r="J20" s="100">
        <v>19980259.140000008</v>
      </c>
      <c r="K20" s="100">
        <v>18318351.470000006</v>
      </c>
      <c r="L20" s="100">
        <v>19928004.970000006</v>
      </c>
      <c r="M20" s="100">
        <v>-11616590.790000007</v>
      </c>
      <c r="N20" s="100">
        <v>-16310524.549999997</v>
      </c>
      <c r="O20" s="100">
        <v>-9251889.4600000009</v>
      </c>
      <c r="P20" s="100">
        <v>-1714303.6600000001</v>
      </c>
      <c r="Q20" s="100">
        <v>-3148513.9600000009</v>
      </c>
      <c r="R20" s="100">
        <v>-8118046.8800000027</v>
      </c>
      <c r="S20" s="100">
        <v>4761290.7599999979</v>
      </c>
      <c r="T20" s="100">
        <v>-5618582.8221137896</v>
      </c>
      <c r="U20" s="100">
        <v>3445093.8899999931</v>
      </c>
      <c r="V20" s="100">
        <v>2249259.0399999842</v>
      </c>
      <c r="W20" s="100">
        <v>11137629.499999993</v>
      </c>
      <c r="X20" s="100">
        <v>7087623.859999992</v>
      </c>
      <c r="Z20" s="81"/>
    </row>
    <row r="21" spans="2:26">
      <c r="B21" s="79" t="s">
        <v>265</v>
      </c>
      <c r="C21" s="80" t="s">
        <v>266</v>
      </c>
      <c r="D21" s="100">
        <f>'[1]Cash Flow'!$D$90</f>
        <v>22970004.75999999</v>
      </c>
      <c r="E21" s="100">
        <v>11730783.799999982</v>
      </c>
      <c r="F21" s="100">
        <v>-12516503.5</v>
      </c>
      <c r="G21" s="100">
        <v>18500954.929999977</v>
      </c>
      <c r="H21" s="100">
        <v>12931321.149999976</v>
      </c>
      <c r="I21" s="100">
        <v>12181031.88000004</v>
      </c>
      <c r="J21" s="100">
        <v>-2463060.9599999934</v>
      </c>
      <c r="K21" s="100">
        <v>-3974885.2699999809</v>
      </c>
      <c r="L21" s="100">
        <v>566950.86000002921</v>
      </c>
      <c r="M21" s="100">
        <v>-7996933.0200000107</v>
      </c>
      <c r="N21" s="100">
        <v>-1787585.9599999934</v>
      </c>
      <c r="O21" s="100">
        <v>-8488849.0900000036</v>
      </c>
      <c r="P21" s="100">
        <v>-11557535.569999993</v>
      </c>
      <c r="Q21" s="100">
        <v>14958944.539999977</v>
      </c>
      <c r="R21" s="100">
        <v>9605072.0499999672</v>
      </c>
      <c r="S21" s="100">
        <v>6054213.6499999613</v>
      </c>
      <c r="T21" s="100">
        <v>10040691.179999977</v>
      </c>
      <c r="U21" s="100">
        <v>-35173725.289999962</v>
      </c>
      <c r="V21" s="100">
        <v>-22821617.719999984</v>
      </c>
      <c r="W21" s="100">
        <v>-20973617.299999967</v>
      </c>
      <c r="X21" s="100">
        <v>-8038038.3399999887</v>
      </c>
      <c r="Z21" s="81"/>
    </row>
    <row r="22" spans="2:26" ht="21">
      <c r="B22" s="79" t="s">
        <v>267</v>
      </c>
      <c r="C22" s="80" t="s">
        <v>268</v>
      </c>
      <c r="D22" s="100">
        <f>'[1]Cash Flow'!$D$93</f>
        <v>-10247338.420487812</v>
      </c>
      <c r="E22" s="100">
        <v>-15439425.677804876</v>
      </c>
      <c r="F22" s="100">
        <v>-1505936.3699999996</v>
      </c>
      <c r="G22" s="100">
        <v>-2918381.7692683022</v>
      </c>
      <c r="H22" s="100">
        <v>-3036639.9190243916</v>
      </c>
      <c r="I22" s="100">
        <v>-691340.62878048094</v>
      </c>
      <c r="J22" s="100">
        <v>8600760.6986991726</v>
      </c>
      <c r="K22" s="100">
        <v>6712242.9473983943</v>
      </c>
      <c r="L22" s="100">
        <v>-2247426.6100000013</v>
      </c>
      <c r="M22" s="100">
        <v>7712199.1300000027</v>
      </c>
      <c r="N22" s="100">
        <v>18698173.949999988</v>
      </c>
      <c r="O22" s="100">
        <v>5832490.4300000006</v>
      </c>
      <c r="P22" s="100">
        <v>3684768.2700000047</v>
      </c>
      <c r="Q22" s="100">
        <v>-1250319.7100000014</v>
      </c>
      <c r="R22" s="100">
        <v>-1970112.5799999991</v>
      </c>
      <c r="S22" s="100">
        <v>-2013509.7100000107</v>
      </c>
      <c r="T22" s="100">
        <v>-119998.52000001026</v>
      </c>
      <c r="U22" s="100">
        <v>-15728901.769999992</v>
      </c>
      <c r="V22" s="100">
        <v>-22490787.249999996</v>
      </c>
      <c r="W22" s="100">
        <v>-16090107.419999998</v>
      </c>
      <c r="X22" s="100">
        <v>-3060198.8499999978</v>
      </c>
      <c r="Z22" s="81"/>
    </row>
    <row r="23" spans="2:26">
      <c r="B23" s="79" t="s">
        <v>269</v>
      </c>
      <c r="C23" s="80" t="s">
        <v>270</v>
      </c>
      <c r="D23" s="100">
        <f>'[1]Cash Flow'!$D$98</f>
        <v>-1505936.3699999996</v>
      </c>
      <c r="E23" s="100">
        <v>913638.18000000017</v>
      </c>
      <c r="F23" s="100">
        <v>-10247338.420487812</v>
      </c>
      <c r="G23" s="100">
        <v>2107244.13</v>
      </c>
      <c r="H23" s="100">
        <v>800757.33000000007</v>
      </c>
      <c r="I23" s="100">
        <v>-2908777.1200000006</v>
      </c>
      <c r="J23" s="100">
        <v>-4797067.8899999997</v>
      </c>
      <c r="K23" s="100">
        <v>-664418.88000000035</v>
      </c>
      <c r="L23" s="100">
        <v>-847723.17000000027</v>
      </c>
      <c r="M23" s="100">
        <v>-351501.74999999983</v>
      </c>
      <c r="N23" s="100">
        <v>15243.190000000643</v>
      </c>
      <c r="O23" s="100">
        <v>298838.90000000037</v>
      </c>
      <c r="P23" s="100">
        <v>-630247.6099999994</v>
      </c>
      <c r="Q23" s="100">
        <v>3176812.43</v>
      </c>
      <c r="R23" s="100">
        <v>336359.24999999919</v>
      </c>
      <c r="S23" s="100">
        <v>-359502.30000000028</v>
      </c>
      <c r="T23" s="100">
        <v>-1202629.7800000003</v>
      </c>
      <c r="U23" s="100">
        <v>5013752.5900000008</v>
      </c>
      <c r="V23" s="100">
        <v>3358588.2199999997</v>
      </c>
      <c r="W23" s="100">
        <v>1458833.0799999998</v>
      </c>
      <c r="X23" s="100">
        <v>-446893.68000000017</v>
      </c>
      <c r="Z23" s="81"/>
    </row>
    <row r="24" spans="2:26">
      <c r="B24" s="79" t="s">
        <v>271</v>
      </c>
      <c r="C24" s="80" t="s">
        <v>272</v>
      </c>
      <c r="D24" s="100">
        <f>'[1]Cash Flow'!$D$101</f>
        <v>3256242.8699999992</v>
      </c>
      <c r="E24" s="100">
        <v>4077102.2800000003</v>
      </c>
      <c r="F24" s="100">
        <v>3256242.8699999992</v>
      </c>
      <c r="G24" s="100">
        <v>2130793.4299999997</v>
      </c>
      <c r="H24" s="100">
        <v>51612.009999999776</v>
      </c>
      <c r="I24" s="100">
        <v>4689175.0999999996</v>
      </c>
      <c r="J24" s="100">
        <v>-1081630.3900000001</v>
      </c>
      <c r="K24" s="100">
        <v>-59193.479999999981</v>
      </c>
      <c r="L24" s="100">
        <v>-129099.67000000039</v>
      </c>
      <c r="M24" s="100">
        <v>5548730.4700000007</v>
      </c>
      <c r="N24" s="100">
        <v>-116586.37000000011</v>
      </c>
      <c r="O24" s="100">
        <v>392299.70000000019</v>
      </c>
      <c r="P24" s="100">
        <v>321219.10000000009</v>
      </c>
      <c r="Q24" s="100">
        <v>-43767.149999999907</v>
      </c>
      <c r="R24" s="100">
        <v>-139628.07999999961</v>
      </c>
      <c r="S24" s="100">
        <v>556561.53999999957</v>
      </c>
      <c r="T24" s="100">
        <v>455704.99000000022</v>
      </c>
      <c r="U24" s="100">
        <v>-119278.51000000071</v>
      </c>
      <c r="V24" s="100">
        <v>49374.419999999925</v>
      </c>
      <c r="W24" s="100">
        <v>875958.26999999909</v>
      </c>
      <c r="X24" s="100">
        <v>532290.8899999992</v>
      </c>
      <c r="Z24" s="81"/>
    </row>
    <row r="25" spans="2:26">
      <c r="B25" s="79" t="s">
        <v>273</v>
      </c>
      <c r="C25" s="80" t="s">
        <v>274</v>
      </c>
      <c r="D25" s="100">
        <f>'[1]Cash Flow'!$D$106</f>
        <v>-15680652.550000008</v>
      </c>
      <c r="E25" s="100">
        <v>-18174380.740000002</v>
      </c>
      <c r="F25" s="100">
        <v>-15680652.550000008</v>
      </c>
      <c r="G25" s="100">
        <v>-13500394.850000001</v>
      </c>
      <c r="H25" s="100">
        <v>-7655814.890000008</v>
      </c>
      <c r="I25" s="100">
        <v>-5642374.2899999991</v>
      </c>
      <c r="J25" s="100">
        <v>-13264467.43</v>
      </c>
      <c r="K25" s="100">
        <v>-11525601.850000001</v>
      </c>
      <c r="L25" s="100">
        <v>-11799716.980000004</v>
      </c>
      <c r="M25" s="100">
        <v>5620135.5500000045</v>
      </c>
      <c r="N25" s="100">
        <v>1813362.1700000018</v>
      </c>
      <c r="O25" s="100">
        <v>1652599.7400000021</v>
      </c>
      <c r="P25" s="100">
        <v>3488808.2800000012</v>
      </c>
      <c r="Q25" s="100">
        <v>-3595016.6600000039</v>
      </c>
      <c r="R25" s="100">
        <v>17087933.100000001</v>
      </c>
      <c r="S25" s="100">
        <v>-4056626.700000003</v>
      </c>
      <c r="T25" s="100">
        <v>-5056215.82</v>
      </c>
      <c r="U25" s="100">
        <v>11384626.749999993</v>
      </c>
      <c r="V25" s="100">
        <v>9097121.9699999914</v>
      </c>
      <c r="W25" s="100">
        <v>3276163.6199999899</v>
      </c>
      <c r="X25" s="100">
        <v>4751025.0599999949</v>
      </c>
      <c r="Z25" s="81"/>
    </row>
    <row r="26" spans="2:26" ht="5.5" customHeight="1" thickBot="1">
      <c r="B26" s="75"/>
      <c r="C26" s="76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78"/>
      <c r="Z26" s="78"/>
    </row>
    <row r="27" spans="2:26" ht="11" thickBot="1">
      <c r="B27" s="95" t="s">
        <v>275</v>
      </c>
      <c r="C27" s="96" t="s">
        <v>276</v>
      </c>
      <c r="D27" s="106">
        <f t="shared" ref="D27" si="1">SUM(D18:D25)</f>
        <v>13249628.649512168</v>
      </c>
      <c r="E27" s="106">
        <v>22216605.732195109</v>
      </c>
      <c r="F27" s="106">
        <v>19728529.849512171</v>
      </c>
      <c r="G27" s="106">
        <v>15916665.910731662</v>
      </c>
      <c r="H27" s="106">
        <v>5657984.6809755825</v>
      </c>
      <c r="I27" s="106">
        <v>32822748.091219582</v>
      </c>
      <c r="J27" s="106">
        <v>23492214.268699192</v>
      </c>
      <c r="K27" s="106">
        <v>19564452.687398419</v>
      </c>
      <c r="L27" s="106">
        <v>9301820.9200000241</v>
      </c>
      <c r="M27" s="106">
        <v>37572685.949999973</v>
      </c>
      <c r="N27" s="106">
        <v>25580635.010000028</v>
      </c>
      <c r="O27" s="106">
        <v>10703458.790000003</v>
      </c>
      <c r="P27" s="106">
        <v>3058175.9700000081</v>
      </c>
      <c r="Q27" s="106">
        <v>55086118.179999955</v>
      </c>
      <c r="R27" s="106">
        <v>50861927.319999956</v>
      </c>
      <c r="S27" s="106">
        <v>25089643.769999973</v>
      </c>
      <c r="T27" s="106">
        <v>3460338.1578861773</v>
      </c>
      <c r="U27" s="106">
        <v>4281280.4700000044</v>
      </c>
      <c r="V27" s="106">
        <v>-4574815.3000000063</v>
      </c>
      <c r="W27" s="106">
        <v>-8965534.969999982</v>
      </c>
      <c r="X27" s="106">
        <v>748494.78999999957</v>
      </c>
      <c r="Y27" s="84"/>
      <c r="Z27" s="78"/>
    </row>
    <row r="28" spans="2:26" ht="5.5" customHeight="1">
      <c r="B28" s="75"/>
      <c r="C28" s="76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78"/>
      <c r="Z28" s="78"/>
    </row>
    <row r="29" spans="2:26">
      <c r="B29" s="75" t="s">
        <v>278</v>
      </c>
      <c r="C29" s="76" t="s">
        <v>279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78"/>
      <c r="Z29" s="78"/>
    </row>
    <row r="30" spans="2:26" ht="5.5" customHeight="1">
      <c r="B30" s="75"/>
      <c r="C30" s="76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78"/>
      <c r="Z30" s="78"/>
    </row>
    <row r="31" spans="2:26">
      <c r="B31" s="75" t="s">
        <v>26</v>
      </c>
      <c r="C31" s="76" t="s">
        <v>280</v>
      </c>
      <c r="D31" s="100">
        <f t="shared" ref="D31" si="2">SUM(D32:D35)</f>
        <v>56910.57</v>
      </c>
      <c r="E31" s="100">
        <v>1208640.07</v>
      </c>
      <c r="F31" s="100">
        <v>56910.57</v>
      </c>
      <c r="G31" s="100">
        <v>56910.57</v>
      </c>
      <c r="H31" s="100">
        <v>56910.57</v>
      </c>
      <c r="I31" s="100">
        <v>3109291.16</v>
      </c>
      <c r="J31" s="100">
        <v>115000</v>
      </c>
      <c r="K31" s="100">
        <v>115000</v>
      </c>
      <c r="L31" s="100">
        <v>115000</v>
      </c>
      <c r="M31" s="100">
        <v>9014077.5199999996</v>
      </c>
      <c r="N31" s="100">
        <v>7214077.5199999996</v>
      </c>
      <c r="O31" s="100">
        <v>4332795.67</v>
      </c>
      <c r="P31" s="100">
        <v>20424.759999999998</v>
      </c>
      <c r="Q31" s="100">
        <v>1178425.19</v>
      </c>
      <c r="R31" s="100">
        <v>477075.19</v>
      </c>
      <c r="S31" s="100">
        <v>470775.19</v>
      </c>
      <c r="T31" s="100">
        <v>200</v>
      </c>
      <c r="U31" s="100">
        <v>9730936.9100000001</v>
      </c>
      <c r="V31" s="100">
        <v>9030236.9100000001</v>
      </c>
      <c r="W31" s="100">
        <v>8590136.9100000001</v>
      </c>
      <c r="X31" s="100">
        <v>50</v>
      </c>
      <c r="Z31" s="78"/>
    </row>
    <row r="32" spans="2:26">
      <c r="B32" s="112" t="s">
        <v>27</v>
      </c>
      <c r="C32" s="113" t="s">
        <v>281</v>
      </c>
      <c r="D32" s="100">
        <f>'[1]Cash Flow'!$D$112</f>
        <v>56910.57</v>
      </c>
      <c r="E32" s="100">
        <v>56910.57</v>
      </c>
      <c r="F32" s="100">
        <v>56910.57</v>
      </c>
      <c r="G32" s="100">
        <v>56910.57</v>
      </c>
      <c r="H32" s="100">
        <v>56910.57</v>
      </c>
      <c r="I32" s="100">
        <v>0</v>
      </c>
      <c r="J32" s="100">
        <v>0</v>
      </c>
      <c r="K32" s="100">
        <v>0</v>
      </c>
      <c r="L32" s="100">
        <v>0</v>
      </c>
      <c r="M32" s="100">
        <v>7214077.5199999996</v>
      </c>
      <c r="N32" s="100">
        <v>7214077.5199999996</v>
      </c>
      <c r="O32" s="100">
        <v>4332795.67</v>
      </c>
      <c r="P32" s="100">
        <v>20424.759999999998</v>
      </c>
      <c r="Q32" s="100">
        <v>478425.19</v>
      </c>
      <c r="R32" s="100">
        <v>477075.19</v>
      </c>
      <c r="S32" s="100">
        <v>470775.19</v>
      </c>
      <c r="T32" s="100">
        <v>200</v>
      </c>
      <c r="U32" s="100">
        <v>8590936.9100000001</v>
      </c>
      <c r="V32" s="100">
        <v>8590236.9100000001</v>
      </c>
      <c r="W32" s="100">
        <v>8590136.9100000001</v>
      </c>
      <c r="X32" s="100">
        <v>50</v>
      </c>
      <c r="Z32" s="81"/>
    </row>
    <row r="33" spans="2:26">
      <c r="B33" s="112" t="s">
        <v>329</v>
      </c>
      <c r="C33" s="113" t="s">
        <v>330</v>
      </c>
      <c r="D33" s="100">
        <f>'[1]Cash Flow'!$D$113</f>
        <v>0</v>
      </c>
      <c r="E33" s="100">
        <v>1151729.5</v>
      </c>
      <c r="F33" s="100">
        <v>0</v>
      </c>
      <c r="G33" s="100">
        <v>0</v>
      </c>
      <c r="H33" s="100">
        <v>0</v>
      </c>
      <c r="I33" s="100">
        <v>3109291.16</v>
      </c>
      <c r="J33" s="100">
        <v>115000</v>
      </c>
      <c r="K33" s="100">
        <v>115000</v>
      </c>
      <c r="L33" s="100">
        <v>115000</v>
      </c>
      <c r="M33" s="100">
        <v>1800000</v>
      </c>
      <c r="N33" s="100">
        <v>0</v>
      </c>
      <c r="O33" s="100">
        <v>0</v>
      </c>
      <c r="P33" s="100">
        <v>0</v>
      </c>
      <c r="Q33" s="100">
        <v>700000</v>
      </c>
      <c r="R33" s="100">
        <v>0</v>
      </c>
      <c r="S33" s="100">
        <v>0</v>
      </c>
      <c r="T33" s="100">
        <v>0</v>
      </c>
      <c r="U33" s="100">
        <v>0</v>
      </c>
      <c r="V33" s="100">
        <v>440000</v>
      </c>
      <c r="W33" s="100"/>
      <c r="X33" s="100"/>
      <c r="Z33" s="81"/>
    </row>
    <row r="34" spans="2:26">
      <c r="B34" s="112" t="s">
        <v>332</v>
      </c>
      <c r="C34" s="113"/>
      <c r="D34" s="100">
        <f>'[1]Cash Flow'!$D$114</f>
        <v>0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>
        <v>0</v>
      </c>
      <c r="O34" s="100">
        <v>0</v>
      </c>
      <c r="P34" s="100">
        <v>0</v>
      </c>
      <c r="Q34" s="100">
        <v>0</v>
      </c>
      <c r="R34" s="100">
        <v>0</v>
      </c>
      <c r="S34" s="100">
        <v>0</v>
      </c>
      <c r="T34" s="100">
        <v>0</v>
      </c>
      <c r="U34" s="100">
        <v>1140000</v>
      </c>
      <c r="V34" s="100"/>
      <c r="W34" s="100"/>
      <c r="X34" s="100"/>
      <c r="Z34" s="81"/>
    </row>
    <row r="35" spans="2:26">
      <c r="B35" s="112" t="s">
        <v>282</v>
      </c>
      <c r="C35" s="113" t="s">
        <v>283</v>
      </c>
      <c r="D35" s="100">
        <f>'[1]Cash Flow'!$D$115</f>
        <v>0</v>
      </c>
      <c r="E35" s="100">
        <v>0</v>
      </c>
      <c r="F35" s="100">
        <v>0</v>
      </c>
      <c r="G35" s="100">
        <v>0</v>
      </c>
      <c r="H35" s="100">
        <v>0</v>
      </c>
      <c r="I35" s="100">
        <v>0</v>
      </c>
      <c r="J35" s="100">
        <v>0</v>
      </c>
      <c r="K35" s="100">
        <v>0</v>
      </c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0">
        <v>0</v>
      </c>
      <c r="R35" s="100">
        <v>0</v>
      </c>
      <c r="S35" s="100">
        <v>0</v>
      </c>
      <c r="T35" s="100">
        <v>0</v>
      </c>
      <c r="U35" s="100">
        <v>0</v>
      </c>
      <c r="V35" s="100">
        <v>0</v>
      </c>
      <c r="W35" s="100">
        <v>0</v>
      </c>
      <c r="X35" s="100">
        <v>0</v>
      </c>
      <c r="Z35" s="81"/>
    </row>
    <row r="36" spans="2:26" ht="5.5" customHeight="1">
      <c r="B36" s="75"/>
      <c r="C36" s="76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78"/>
      <c r="Z36" s="78"/>
    </row>
    <row r="37" spans="2:26">
      <c r="B37" s="75" t="s">
        <v>28</v>
      </c>
      <c r="C37" s="76" t="s">
        <v>284</v>
      </c>
      <c r="D37" s="100">
        <f t="shared" ref="D37" si="3">SUM(D38:D40)</f>
        <v>6967413.8695121687</v>
      </c>
      <c r="E37" s="100">
        <v>13066431.982195042</v>
      </c>
      <c r="F37" s="100">
        <v>6967413.8695121687</v>
      </c>
      <c r="G37" s="100">
        <v>6937061.4507316519</v>
      </c>
      <c r="H37" s="100">
        <v>4383251.3109755777</v>
      </c>
      <c r="I37" s="100">
        <v>11183626.531219583</v>
      </c>
      <c r="J37" s="100">
        <v>9217750.7086991984</v>
      </c>
      <c r="K37" s="100">
        <v>8438393.1073984224</v>
      </c>
      <c r="L37" s="100">
        <v>5838504.2200000258</v>
      </c>
      <c r="M37" s="100">
        <v>44165506.93999999</v>
      </c>
      <c r="N37" s="100">
        <v>28815634.910000034</v>
      </c>
      <c r="O37" s="100">
        <v>20184233.240000006</v>
      </c>
      <c r="P37" s="100">
        <v>5359249.2600000147</v>
      </c>
      <c r="Q37" s="100">
        <v>29578816.949999958</v>
      </c>
      <c r="R37" s="100">
        <v>23435694.36999996</v>
      </c>
      <c r="S37" s="100">
        <v>16429111.079999957</v>
      </c>
      <c r="T37" s="100">
        <v>2152609.8878861791</v>
      </c>
      <c r="U37" s="100">
        <v>12892126.150000004</v>
      </c>
      <c r="V37" s="100">
        <v>15714537.360000012</v>
      </c>
      <c r="W37" s="100">
        <v>8995194.4200000148</v>
      </c>
      <c r="X37" s="100">
        <v>5001887.9400000032</v>
      </c>
      <c r="Z37" s="78"/>
    </row>
    <row r="38" spans="2:26">
      <c r="B38" s="112" t="s">
        <v>29</v>
      </c>
      <c r="C38" s="113" t="s">
        <v>285</v>
      </c>
      <c r="D38" s="100">
        <f>'[1]Cash Flow'!$D$117</f>
        <v>6967413.8695121687</v>
      </c>
      <c r="E38" s="100">
        <v>13066431.982195042</v>
      </c>
      <c r="F38" s="100">
        <v>6967413.8695121687</v>
      </c>
      <c r="G38" s="100">
        <v>6937061.4507316519</v>
      </c>
      <c r="H38" s="100">
        <v>4383251.3109755777</v>
      </c>
      <c r="I38" s="100">
        <v>11183626.531219583</v>
      </c>
      <c r="J38" s="100">
        <v>9217750.7086991984</v>
      </c>
      <c r="K38" s="100">
        <v>8438393.1073984224</v>
      </c>
      <c r="L38" s="100">
        <v>5838504.2200000258</v>
      </c>
      <c r="M38" s="100">
        <v>44165506.93999999</v>
      </c>
      <c r="N38" s="100">
        <v>28815634.910000034</v>
      </c>
      <c r="O38" s="100">
        <v>20184233.240000006</v>
      </c>
      <c r="P38" s="100">
        <v>5359249.2600000147</v>
      </c>
      <c r="Q38" s="100">
        <v>29578816.949999958</v>
      </c>
      <c r="R38" s="100">
        <v>23435694.36999996</v>
      </c>
      <c r="S38" s="100">
        <v>16429111.079999957</v>
      </c>
      <c r="T38" s="100">
        <v>2152609.8878861791</v>
      </c>
      <c r="U38" s="100">
        <v>12892126.150000004</v>
      </c>
      <c r="V38" s="100">
        <v>15714537.360000012</v>
      </c>
      <c r="W38" s="100">
        <v>8995194.4200000148</v>
      </c>
      <c r="X38" s="100">
        <v>5001887.9400000032</v>
      </c>
      <c r="Z38" s="81"/>
    </row>
    <row r="39" spans="2:26">
      <c r="B39" s="112" t="s">
        <v>286</v>
      </c>
      <c r="C39" s="113" t="s">
        <v>287</v>
      </c>
      <c r="D39" s="100">
        <f>'[1]Cash Flow'!$D$127</f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v>0</v>
      </c>
      <c r="R39" s="100">
        <v>0</v>
      </c>
      <c r="S39" s="100">
        <v>0</v>
      </c>
      <c r="T39" s="100">
        <v>0</v>
      </c>
      <c r="U39" s="100">
        <v>0</v>
      </c>
      <c r="V39" s="100">
        <v>0</v>
      </c>
      <c r="W39" s="100">
        <v>0</v>
      </c>
      <c r="X39" s="100">
        <v>0</v>
      </c>
      <c r="Z39" s="81"/>
    </row>
    <row r="40" spans="2:26" ht="5.5" customHeight="1" thickBot="1">
      <c r="B40" s="75"/>
      <c r="C40" s="76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78"/>
      <c r="Z40" s="78"/>
    </row>
    <row r="41" spans="2:26" ht="11" thickBot="1">
      <c r="B41" s="95" t="s">
        <v>288</v>
      </c>
      <c r="C41" s="96" t="s">
        <v>289</v>
      </c>
      <c r="D41" s="106">
        <f t="shared" ref="D41" si="4">D31-D37</f>
        <v>-6910503.2995121684</v>
      </c>
      <c r="E41" s="106">
        <v>-11857791.912195042</v>
      </c>
      <c r="F41" s="106">
        <v>-6910503.2995121684</v>
      </c>
      <c r="G41" s="106">
        <v>-6880150.8807316516</v>
      </c>
      <c r="H41" s="106">
        <v>-4326340.7409755774</v>
      </c>
      <c r="I41" s="106">
        <v>-8074335.3712195829</v>
      </c>
      <c r="J41" s="106">
        <v>-9102750.7086991984</v>
      </c>
      <c r="K41" s="106">
        <v>-8323393.1073984224</v>
      </c>
      <c r="L41" s="106">
        <v>-5723504.2200000258</v>
      </c>
      <c r="M41" s="106">
        <v>-35151429.419999987</v>
      </c>
      <c r="N41" s="106">
        <v>-21601557.390000034</v>
      </c>
      <c r="O41" s="106">
        <v>-15851437.570000006</v>
      </c>
      <c r="P41" s="106">
        <v>-5338824.5000000149</v>
      </c>
      <c r="Q41" s="106">
        <v>-28400391.759999957</v>
      </c>
      <c r="R41" s="106">
        <v>-22958619.179999959</v>
      </c>
      <c r="S41" s="106">
        <v>-15958335.889999958</v>
      </c>
      <c r="T41" s="106">
        <v>-2152409.8878861791</v>
      </c>
      <c r="U41" s="106">
        <v>-3161189.2400000039</v>
      </c>
      <c r="V41" s="106">
        <v>-6684300.4500000123</v>
      </c>
      <c r="W41" s="106">
        <v>-405057.51000001468</v>
      </c>
      <c r="X41" s="106">
        <v>-5001837.9400000032</v>
      </c>
      <c r="Y41" s="84"/>
      <c r="Z41" s="78"/>
    </row>
    <row r="42" spans="2:26" ht="5.5" customHeight="1">
      <c r="B42" s="75"/>
      <c r="C42" s="76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78"/>
      <c r="Z42" s="78"/>
    </row>
    <row r="43" spans="2:26">
      <c r="B43" s="75" t="s">
        <v>290</v>
      </c>
      <c r="C43" s="76" t="s">
        <v>291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78"/>
      <c r="Z43" s="78"/>
    </row>
    <row r="44" spans="2:26" ht="5.5" customHeight="1">
      <c r="B44" s="75"/>
      <c r="C44" s="76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78"/>
      <c r="Z44" s="78"/>
    </row>
    <row r="45" spans="2:26">
      <c r="B45" s="75" t="s">
        <v>26</v>
      </c>
      <c r="C45" s="76" t="s">
        <v>280</v>
      </c>
      <c r="D45" s="100">
        <f t="shared" ref="D45" si="5">SUM(D46:D49)</f>
        <v>8000000</v>
      </c>
      <c r="E45" s="100">
        <v>10000000</v>
      </c>
      <c r="F45" s="100">
        <v>8000000</v>
      </c>
      <c r="G45" s="100">
        <v>0</v>
      </c>
      <c r="H45" s="100">
        <v>0</v>
      </c>
      <c r="I45" s="100">
        <v>3790136.59</v>
      </c>
      <c r="J45" s="100">
        <v>2887651.48</v>
      </c>
      <c r="K45" s="100">
        <v>2887651.48</v>
      </c>
      <c r="L45" s="100">
        <v>2898573.58</v>
      </c>
      <c r="M45" s="100">
        <v>18390863.120000005</v>
      </c>
      <c r="N45" s="100">
        <v>10439007.390000002</v>
      </c>
      <c r="O45" s="100">
        <v>9804473.9199999981</v>
      </c>
      <c r="P45" s="100">
        <v>5175158.370000001</v>
      </c>
      <c r="Q45" s="100">
        <v>15382141.52</v>
      </c>
      <c r="R45" s="100">
        <v>13939541.269999998</v>
      </c>
      <c r="S45" s="100">
        <v>5749032.2499999991</v>
      </c>
      <c r="T45" s="100">
        <v>5837269.8100000005</v>
      </c>
      <c r="U45" s="100">
        <v>33811951.939999998</v>
      </c>
      <c r="V45" s="100">
        <v>20000000</v>
      </c>
      <c r="W45" s="100">
        <v>34257169.159999996</v>
      </c>
      <c r="X45" s="100">
        <v>0</v>
      </c>
      <c r="Z45" s="78"/>
    </row>
    <row r="46" spans="2:26">
      <c r="B46" s="112" t="s">
        <v>292</v>
      </c>
      <c r="C46" s="113" t="s">
        <v>293</v>
      </c>
      <c r="D46" s="100">
        <f>'[1]Cash Flow'!$D$132</f>
        <v>8000000</v>
      </c>
      <c r="E46" s="100">
        <v>10000000</v>
      </c>
      <c r="F46" s="100">
        <v>8000000</v>
      </c>
      <c r="G46" s="100">
        <v>0</v>
      </c>
      <c r="H46" s="100">
        <v>0</v>
      </c>
      <c r="I46" s="100">
        <v>6091.3599999999969</v>
      </c>
      <c r="J46" s="100">
        <v>0</v>
      </c>
      <c r="K46" s="100">
        <v>0</v>
      </c>
      <c r="L46" s="100">
        <v>10922.100000000002</v>
      </c>
      <c r="M46" s="100">
        <v>9003275.2500000037</v>
      </c>
      <c r="N46" s="100">
        <v>10439007.390000002</v>
      </c>
      <c r="O46" s="100">
        <v>9804473.9199999981</v>
      </c>
      <c r="P46" s="100">
        <v>5175158.370000001</v>
      </c>
      <c r="Q46" s="100">
        <v>15382141.52</v>
      </c>
      <c r="R46" s="100">
        <v>13939541.269999998</v>
      </c>
      <c r="S46" s="100">
        <v>5749032.2499999991</v>
      </c>
      <c r="T46" s="100">
        <v>5837269.8100000005</v>
      </c>
      <c r="U46" s="100">
        <v>33811951.939999998</v>
      </c>
      <c r="V46" s="100">
        <v>20000000</v>
      </c>
      <c r="W46" s="100">
        <v>34257169.159999996</v>
      </c>
      <c r="X46" s="100">
        <v>0</v>
      </c>
      <c r="Z46" s="81"/>
    </row>
    <row r="47" spans="2:26">
      <c r="B47" s="112" t="s">
        <v>335</v>
      </c>
      <c r="C47" s="113" t="s">
        <v>336</v>
      </c>
      <c r="D47" s="100">
        <f>'[1]Cash Flow'!$D$134</f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3784045.23</v>
      </c>
      <c r="J47" s="100" t="s">
        <v>342</v>
      </c>
      <c r="K47" s="100">
        <v>2887651.48</v>
      </c>
      <c r="L47" s="100"/>
      <c r="M47" s="100">
        <v>9387587.8699999992</v>
      </c>
      <c r="N47" s="100"/>
      <c r="O47" s="100" t="s">
        <v>342</v>
      </c>
      <c r="P47" s="100"/>
      <c r="Q47" s="100"/>
      <c r="R47" s="100"/>
      <c r="S47" s="100"/>
      <c r="T47" s="100"/>
      <c r="U47" s="100"/>
      <c r="V47" s="100"/>
      <c r="W47" s="100"/>
      <c r="X47" s="100"/>
      <c r="Z47" s="81"/>
    </row>
    <row r="48" spans="2:26">
      <c r="B48" s="112" t="s">
        <v>343</v>
      </c>
      <c r="C48" s="113" t="s">
        <v>345</v>
      </c>
      <c r="D48" s="100"/>
      <c r="E48" s="100"/>
      <c r="F48" s="100"/>
      <c r="G48" s="100"/>
      <c r="H48" s="100"/>
      <c r="I48" s="100"/>
      <c r="J48" s="100">
        <v>2887651.48</v>
      </c>
      <c r="K48" s="100"/>
      <c r="L48" s="100">
        <v>2887651.48</v>
      </c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Z48" s="81"/>
    </row>
    <row r="49" spans="2:26">
      <c r="B49" s="112" t="s">
        <v>282</v>
      </c>
      <c r="C49" s="113" t="s">
        <v>283</v>
      </c>
      <c r="D49" s="100">
        <f>'[1]Cash Flow'!$D$135</f>
        <v>0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0">
        <v>0</v>
      </c>
      <c r="R49" s="100">
        <v>0</v>
      </c>
      <c r="S49" s="100">
        <v>0</v>
      </c>
      <c r="T49" s="100">
        <v>0</v>
      </c>
      <c r="U49" s="100">
        <v>0</v>
      </c>
      <c r="V49" s="100">
        <v>0</v>
      </c>
      <c r="W49" s="100">
        <v>0</v>
      </c>
      <c r="X49" s="100">
        <v>0</v>
      </c>
      <c r="Z49" s="81"/>
    </row>
    <row r="50" spans="2:26" ht="5.5" customHeight="1">
      <c r="B50" s="75"/>
      <c r="C50" s="76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78"/>
      <c r="Z50" s="78"/>
    </row>
    <row r="51" spans="2:26">
      <c r="B51" s="75" t="s">
        <v>28</v>
      </c>
      <c r="C51" s="76" t="s">
        <v>284</v>
      </c>
      <c r="D51" s="100">
        <f t="shared" ref="D51" si="6">SUM(D52:D55)</f>
        <v>26268928.130000003</v>
      </c>
      <c r="E51" s="100">
        <v>17769835.450000022</v>
      </c>
      <c r="F51" s="100">
        <v>26268928.130000003</v>
      </c>
      <c r="G51" s="100">
        <v>14433878.400000002</v>
      </c>
      <c r="H51" s="100">
        <v>5732182.6399999997</v>
      </c>
      <c r="I51" s="100">
        <v>25559493.91</v>
      </c>
      <c r="J51" s="100">
        <v>20697216.610000003</v>
      </c>
      <c r="K51" s="100">
        <v>14260724.590000004</v>
      </c>
      <c r="L51" s="100">
        <v>7892828.5900000073</v>
      </c>
      <c r="M51" s="100">
        <v>26213963.82</v>
      </c>
      <c r="N51" s="100">
        <v>20929587.740000002</v>
      </c>
      <c r="O51" s="100">
        <v>13071705.27</v>
      </c>
      <c r="P51" s="100">
        <v>7657639.4600000009</v>
      </c>
      <c r="Q51" s="100">
        <v>41651817.670000002</v>
      </c>
      <c r="R51" s="100">
        <v>33530788.309999999</v>
      </c>
      <c r="S51" s="100">
        <v>16023503.470000001</v>
      </c>
      <c r="T51" s="100">
        <v>7087473.2800000003</v>
      </c>
      <c r="U51" s="100">
        <v>48192315.670000002</v>
      </c>
      <c r="V51" s="100">
        <v>33779087.900000006</v>
      </c>
      <c r="W51" s="100">
        <v>42528567.360000007</v>
      </c>
      <c r="X51" s="100">
        <v>8545719.9300000016</v>
      </c>
      <c r="Z51" s="78"/>
    </row>
    <row r="52" spans="2:26">
      <c r="B52" s="112" t="s">
        <v>30</v>
      </c>
      <c r="C52" s="113" t="s">
        <v>296</v>
      </c>
      <c r="D52" s="100">
        <f>'[1]Cash Flow'!$D$138</f>
        <v>16655846.66</v>
      </c>
      <c r="E52" s="100">
        <v>5008313.1100000022</v>
      </c>
      <c r="F52" s="100">
        <v>16655846.66</v>
      </c>
      <c r="G52" s="100">
        <v>8024330.1900000041</v>
      </c>
      <c r="H52" s="100">
        <v>3423295.8700000006</v>
      </c>
      <c r="I52" s="100">
        <v>17509081.469999999</v>
      </c>
      <c r="J52" s="100">
        <v>12922133.950000001</v>
      </c>
      <c r="K52" s="100">
        <v>9580312.5100000035</v>
      </c>
      <c r="L52" s="100">
        <v>5754912.6200000076</v>
      </c>
      <c r="M52" s="100">
        <v>15104924.620000001</v>
      </c>
      <c r="N52" s="100">
        <v>12351887.190000001</v>
      </c>
      <c r="O52" s="100">
        <v>7858667.8700000001</v>
      </c>
      <c r="P52" s="100">
        <v>5257664.6800000006</v>
      </c>
      <c r="Q52" s="100">
        <v>32462832.920000002</v>
      </c>
      <c r="R52" s="100">
        <v>27209257.190000001</v>
      </c>
      <c r="S52" s="100">
        <v>12466121.460000001</v>
      </c>
      <c r="T52" s="100">
        <v>5427177.1600000001</v>
      </c>
      <c r="U52" s="100">
        <v>43123123.050000004</v>
      </c>
      <c r="V52" s="100">
        <v>30129666.070000004</v>
      </c>
      <c r="W52" s="100">
        <v>40163489.410000004</v>
      </c>
      <c r="X52" s="100">
        <v>7344410.7700000014</v>
      </c>
      <c r="Z52" s="81"/>
    </row>
    <row r="53" spans="2:26">
      <c r="B53" s="112" t="s">
        <v>294</v>
      </c>
      <c r="C53" s="113" t="s">
        <v>297</v>
      </c>
      <c r="D53" s="100">
        <f>'[1]Cash Flow'!$D$139</f>
        <v>5344858.7700000005</v>
      </c>
      <c r="E53" s="100">
        <v>7214675.1400000006</v>
      </c>
      <c r="F53" s="100">
        <v>5344858.7700000005</v>
      </c>
      <c r="G53" s="100">
        <v>3552205.22</v>
      </c>
      <c r="H53" s="100">
        <v>886712.89</v>
      </c>
      <c r="I53" s="100">
        <v>4534318.8000000007</v>
      </c>
      <c r="J53" s="100">
        <v>4632518.07</v>
      </c>
      <c r="K53" s="100">
        <v>3131950.5699999994</v>
      </c>
      <c r="L53" s="100">
        <v>1367459.44</v>
      </c>
      <c r="M53" s="100">
        <v>6612281.96</v>
      </c>
      <c r="N53" s="100">
        <v>5005383.8599999994</v>
      </c>
      <c r="O53" s="100">
        <v>3231001.53</v>
      </c>
      <c r="P53" s="100">
        <v>1500482.08</v>
      </c>
      <c r="Q53" s="100">
        <v>6715682.5899999999</v>
      </c>
      <c r="R53" s="100">
        <v>4156691.65</v>
      </c>
      <c r="S53" s="100">
        <v>2293249.83</v>
      </c>
      <c r="T53" s="100">
        <v>878856.22</v>
      </c>
      <c r="U53" s="100">
        <v>3778911.8899999997</v>
      </c>
      <c r="V53" s="100">
        <v>2856713.82</v>
      </c>
      <c r="W53" s="100">
        <v>1725411.42</v>
      </c>
      <c r="X53" s="100">
        <v>929567.58999999985</v>
      </c>
      <c r="Z53" s="81"/>
    </row>
    <row r="54" spans="2:26">
      <c r="B54" s="112" t="s">
        <v>295</v>
      </c>
      <c r="C54" s="113" t="s">
        <v>298</v>
      </c>
      <c r="D54" s="100">
        <f>'[1]Cash Flow'!$D$141</f>
        <v>4268222.700000003</v>
      </c>
      <c r="E54" s="100">
        <v>5546847.2000000179</v>
      </c>
      <c r="F54" s="100">
        <v>4268222.700000003</v>
      </c>
      <c r="G54" s="100">
        <v>2857342.9899999993</v>
      </c>
      <c r="H54" s="100">
        <v>1422173.879999999</v>
      </c>
      <c r="I54" s="100">
        <v>3516093.6400000015</v>
      </c>
      <c r="J54" s="100">
        <v>3142564.59</v>
      </c>
      <c r="K54" s="100">
        <v>1548461.5100000014</v>
      </c>
      <c r="L54" s="100">
        <v>770456.5299999991</v>
      </c>
      <c r="M54" s="100">
        <v>4496757.24</v>
      </c>
      <c r="N54" s="100">
        <v>3572316.69</v>
      </c>
      <c r="O54" s="100">
        <v>1982035.87</v>
      </c>
      <c r="P54" s="100">
        <v>899492.7</v>
      </c>
      <c r="Q54" s="100">
        <v>2473302.16</v>
      </c>
      <c r="R54" s="100">
        <v>2164839.4700000002</v>
      </c>
      <c r="S54" s="100">
        <v>1264132.18</v>
      </c>
      <c r="T54" s="100">
        <v>781439.9</v>
      </c>
      <c r="U54" s="100">
        <v>1290280.73</v>
      </c>
      <c r="V54" s="100">
        <v>792708.01</v>
      </c>
      <c r="W54" s="100">
        <v>639666.5299999998</v>
      </c>
      <c r="X54" s="100">
        <v>271741.57</v>
      </c>
      <c r="Z54" s="81"/>
    </row>
    <row r="55" spans="2:26">
      <c r="B55" s="112" t="s">
        <v>54</v>
      </c>
      <c r="C55" s="113" t="s">
        <v>283</v>
      </c>
      <c r="D55" s="100">
        <f>'[1]Cash Flow'!$D$142</f>
        <v>0</v>
      </c>
      <c r="E55" s="100">
        <v>0</v>
      </c>
      <c r="F55" s="100">
        <v>0</v>
      </c>
      <c r="G55" s="100">
        <v>0</v>
      </c>
      <c r="H55" s="100">
        <v>0</v>
      </c>
      <c r="I55" s="100">
        <v>0</v>
      </c>
      <c r="J55" s="100">
        <v>0</v>
      </c>
      <c r="K55" s="100">
        <v>0</v>
      </c>
      <c r="L55" s="100">
        <v>0</v>
      </c>
      <c r="M55" s="100">
        <v>0</v>
      </c>
      <c r="N55" s="100">
        <v>0</v>
      </c>
      <c r="O55" s="100">
        <v>0</v>
      </c>
      <c r="P55" s="100">
        <v>0</v>
      </c>
      <c r="Q55" s="100">
        <v>0</v>
      </c>
      <c r="R55" s="100">
        <v>0</v>
      </c>
      <c r="S55" s="100">
        <v>0</v>
      </c>
      <c r="T55" s="100">
        <v>0</v>
      </c>
      <c r="U55" s="100">
        <v>0</v>
      </c>
      <c r="V55" s="100">
        <v>0</v>
      </c>
      <c r="W55" s="100">
        <v>0</v>
      </c>
      <c r="X55" s="100">
        <v>0</v>
      </c>
      <c r="Z55" s="81"/>
    </row>
    <row r="56" spans="2:26" ht="5.5" customHeight="1" thickBot="1">
      <c r="B56" s="75"/>
      <c r="C56" s="76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78"/>
      <c r="Z56" s="78"/>
    </row>
    <row r="57" spans="2:26" ht="11" thickBot="1">
      <c r="B57" s="95" t="s">
        <v>299</v>
      </c>
      <c r="C57" s="96" t="s">
        <v>300</v>
      </c>
      <c r="D57" s="106">
        <f t="shared" ref="D57" si="7">D45-D51</f>
        <v>-18268928.130000003</v>
      </c>
      <c r="E57" s="106">
        <v>-7769835.4500000216</v>
      </c>
      <c r="F57" s="106">
        <v>-18268928.130000003</v>
      </c>
      <c r="G57" s="106">
        <v>-14433878.400000002</v>
      </c>
      <c r="H57" s="106">
        <v>-5732182.6399999997</v>
      </c>
      <c r="I57" s="106">
        <v>-21769357.32</v>
      </c>
      <c r="J57" s="106">
        <v>-17809565.130000003</v>
      </c>
      <c r="K57" s="106">
        <v>-11373073.110000003</v>
      </c>
      <c r="L57" s="106">
        <v>-4994255.0100000072</v>
      </c>
      <c r="M57" s="106">
        <v>-7823100.6999999955</v>
      </c>
      <c r="N57" s="106">
        <v>-10490580.35</v>
      </c>
      <c r="O57" s="106">
        <v>-3267231.3500000015</v>
      </c>
      <c r="P57" s="106">
        <v>-2482481.09</v>
      </c>
      <c r="Q57" s="106">
        <v>-26269676.150000002</v>
      </c>
      <c r="R57" s="106">
        <v>-19591247.039999999</v>
      </c>
      <c r="S57" s="106">
        <v>-10274471.220000003</v>
      </c>
      <c r="T57" s="106">
        <v>-1250203.4699999997</v>
      </c>
      <c r="U57" s="106">
        <v>-14380363.730000004</v>
      </c>
      <c r="V57" s="106">
        <v>-13779087.900000006</v>
      </c>
      <c r="W57" s="106">
        <v>-8271398.2000000104</v>
      </c>
      <c r="X57" s="106">
        <v>-8545719.9300000016</v>
      </c>
      <c r="Y57" s="84"/>
      <c r="Z57" s="78"/>
    </row>
    <row r="58" spans="2:26" ht="5.5" customHeight="1">
      <c r="B58" s="75"/>
      <c r="C58" s="76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78"/>
      <c r="Z58" s="78"/>
    </row>
    <row r="59" spans="2:26">
      <c r="B59" s="79" t="s">
        <v>301</v>
      </c>
      <c r="C59" s="80" t="s">
        <v>302</v>
      </c>
      <c r="D59" s="100">
        <f>'[1]Cash Flow'!$D$144</f>
        <v>-11929802.780000005</v>
      </c>
      <c r="E59" s="100">
        <v>2588978.3700000457</v>
      </c>
      <c r="F59" s="100">
        <v>-5450901.5800000019</v>
      </c>
      <c r="G59" s="100">
        <v>-5397363.3699999936</v>
      </c>
      <c r="H59" s="100">
        <v>-4400538.6999999955</v>
      </c>
      <c r="I59" s="100">
        <v>2979055.3999999985</v>
      </c>
      <c r="J59" s="100">
        <v>-3420101.5700000077</v>
      </c>
      <c r="K59" s="100">
        <v>-132013.53000000864</v>
      </c>
      <c r="L59" s="100">
        <v>-1415938.3100000098</v>
      </c>
      <c r="M59" s="100">
        <v>-5401844.1700000092</v>
      </c>
      <c r="N59" s="100">
        <v>-6511502.7300000042</v>
      </c>
      <c r="O59" s="100">
        <v>-8415210.1300000064</v>
      </c>
      <c r="P59" s="100">
        <v>-4763129.6200000066</v>
      </c>
      <c r="Q59" s="100">
        <v>416050.26999999583</v>
      </c>
      <c r="R59" s="100">
        <v>8312061.1000000015</v>
      </c>
      <c r="S59" s="100">
        <v>-1143163.3399999887</v>
      </c>
      <c r="T59" s="100">
        <v>57724.799999998417</v>
      </c>
      <c r="U59" s="100">
        <v>-13260272.500000002</v>
      </c>
      <c r="V59" s="100">
        <v>-25038203.650000021</v>
      </c>
      <c r="W59" s="100">
        <v>-17641990.680000007</v>
      </c>
      <c r="X59" s="100">
        <v>-12799063.080000006</v>
      </c>
      <c r="Z59" s="81"/>
    </row>
    <row r="60" spans="2:26">
      <c r="B60" s="79" t="s">
        <v>303</v>
      </c>
      <c r="C60" s="80" t="s">
        <v>304</v>
      </c>
      <c r="D60" s="100">
        <f>'[1]Cash Flow'!$D$145</f>
        <v>6737623.6899999995</v>
      </c>
      <c r="E60" s="100">
        <v>6737623.6899999995</v>
      </c>
      <c r="F60" s="100">
        <v>6737623.6899999995</v>
      </c>
      <c r="G60" s="100">
        <v>6737623.6899999995</v>
      </c>
      <c r="H60" s="100">
        <v>6737623.6899999995</v>
      </c>
      <c r="I60" s="100">
        <v>3758568.2900000084</v>
      </c>
      <c r="J60" s="100">
        <v>3758568.2900000084</v>
      </c>
      <c r="K60" s="100">
        <v>3758568.2900000084</v>
      </c>
      <c r="L60" s="100">
        <v>3758568.2900000084</v>
      </c>
      <c r="M60" s="100">
        <v>9160412.4600000028</v>
      </c>
      <c r="N60" s="100">
        <v>9160412.4600000028</v>
      </c>
      <c r="O60" s="100">
        <v>9160412.4600000028</v>
      </c>
      <c r="P60" s="100">
        <v>9160412.4600000028</v>
      </c>
      <c r="Q60" s="100">
        <v>8744362.1899999995</v>
      </c>
      <c r="R60" s="100">
        <v>8744362.1899999995</v>
      </c>
      <c r="S60" s="100">
        <v>8744362.1899999995</v>
      </c>
      <c r="T60" s="100">
        <v>8744362.1899999995</v>
      </c>
      <c r="U60" s="100">
        <v>22004634.690000005</v>
      </c>
      <c r="V60" s="100">
        <v>22004634.690000005</v>
      </c>
      <c r="W60" s="100">
        <v>22004634.690000005</v>
      </c>
      <c r="X60" s="100">
        <v>22004634.690000005</v>
      </c>
      <c r="Z60" s="81"/>
    </row>
    <row r="61" spans="2:26">
      <c r="B61" s="79" t="s">
        <v>305</v>
      </c>
      <c r="C61" s="80" t="s">
        <v>304</v>
      </c>
      <c r="D61" s="100">
        <f>'[1]Cash Flow'!$D$147</f>
        <v>6737623.6899999995</v>
      </c>
      <c r="E61" s="100">
        <v>6737623.6899999995</v>
      </c>
      <c r="F61" s="100">
        <v>6737623.6899999995</v>
      </c>
      <c r="G61" s="100">
        <v>6737623.6899999995</v>
      </c>
      <c r="H61" s="100">
        <v>6737623.6899999995</v>
      </c>
      <c r="I61" s="100">
        <v>3758568.2900000084</v>
      </c>
      <c r="J61" s="100">
        <v>3758568.2900000084</v>
      </c>
      <c r="K61" s="100">
        <v>3758568.2900000084</v>
      </c>
      <c r="L61" s="100">
        <v>3758568.2900000084</v>
      </c>
      <c r="M61" s="100">
        <v>9160412.4600000028</v>
      </c>
      <c r="N61" s="100">
        <v>9160412.4600000028</v>
      </c>
      <c r="O61" s="100">
        <v>9160412.4600000028</v>
      </c>
      <c r="P61" s="100">
        <v>9160412.4600000028</v>
      </c>
      <c r="Q61" s="100">
        <v>8744362.1899999995</v>
      </c>
      <c r="R61" s="100">
        <v>8744362.1899999995</v>
      </c>
      <c r="S61" s="100">
        <v>8744362.1899999995</v>
      </c>
      <c r="T61" s="100">
        <v>8744362.1899999995</v>
      </c>
      <c r="U61" s="100">
        <v>22004634.690000005</v>
      </c>
      <c r="V61" s="100">
        <v>22004634.690000005</v>
      </c>
      <c r="W61" s="100">
        <v>22004634.690000005</v>
      </c>
      <c r="X61" s="100">
        <v>22004634.690000005</v>
      </c>
      <c r="Z61" s="81"/>
    </row>
    <row r="62" spans="2:26">
      <c r="B62" s="79" t="s">
        <v>25</v>
      </c>
      <c r="C62" s="80" t="s">
        <v>312</v>
      </c>
      <c r="D62" s="100">
        <f>'[1]Cash Flow'!$D$148</f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0">
        <v>0</v>
      </c>
      <c r="R62" s="100">
        <v>0</v>
      </c>
      <c r="S62" s="100">
        <v>0</v>
      </c>
      <c r="T62" s="100">
        <v>0</v>
      </c>
      <c r="U62" s="100">
        <v>0</v>
      </c>
      <c r="V62" s="100">
        <v>0</v>
      </c>
      <c r="W62" s="100">
        <v>0</v>
      </c>
      <c r="X62" s="100">
        <v>0</v>
      </c>
      <c r="Z62" s="81"/>
    </row>
    <row r="63" spans="2:26" ht="5.5" customHeight="1">
      <c r="B63" s="75"/>
      <c r="C63" s="76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78"/>
      <c r="Z63" s="78"/>
    </row>
    <row r="64" spans="2:26" s="111" customFormat="1">
      <c r="B64" s="122" t="s">
        <v>306</v>
      </c>
      <c r="C64" s="123" t="s">
        <v>307</v>
      </c>
      <c r="D64" s="124">
        <f t="shared" ref="D64" si="8">SUM(D59+D60+D62)</f>
        <v>-5192179.0900000054</v>
      </c>
      <c r="E64" s="124">
        <v>9326602.0600000452</v>
      </c>
      <c r="F64" s="124">
        <v>1286722.1099999975</v>
      </c>
      <c r="G64" s="124">
        <v>1340260.3200000059</v>
      </c>
      <c r="H64" s="124">
        <v>2337084.9900000039</v>
      </c>
      <c r="I64" s="124">
        <v>6737623.6900000069</v>
      </c>
      <c r="J64" s="124">
        <v>338466.72000000067</v>
      </c>
      <c r="K64" s="124">
        <v>3626554.76</v>
      </c>
      <c r="L64" s="124">
        <v>2342629.9799999986</v>
      </c>
      <c r="M64" s="124">
        <v>3758568.2899999935</v>
      </c>
      <c r="N64" s="124">
        <v>2648909.7299999986</v>
      </c>
      <c r="O64" s="124">
        <v>745202.32999999635</v>
      </c>
      <c r="P64" s="124">
        <v>4397282.8399999961</v>
      </c>
      <c r="Q64" s="124">
        <v>9160412.4599999953</v>
      </c>
      <c r="R64" s="124">
        <v>17056423.289999999</v>
      </c>
      <c r="S64" s="124">
        <v>7601198.8500000108</v>
      </c>
      <c r="T64" s="124">
        <v>8802086.9899999984</v>
      </c>
      <c r="U64" s="124">
        <v>8744362.1900000032</v>
      </c>
      <c r="V64" s="124">
        <v>-3033568.9600000158</v>
      </c>
      <c r="W64" s="124">
        <v>4362644.0099999979</v>
      </c>
      <c r="X64" s="124">
        <v>9205571.6099999994</v>
      </c>
      <c r="Y64" s="125"/>
      <c r="Z64" s="126"/>
    </row>
    <row r="65" spans="2:26" ht="5.5" customHeight="1">
      <c r="B65" s="75"/>
      <c r="C65" s="76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78"/>
      <c r="Z65" s="78"/>
    </row>
    <row r="66" spans="2:26">
      <c r="B66" s="79" t="s">
        <v>313</v>
      </c>
      <c r="C66" s="80" t="s">
        <v>314</v>
      </c>
      <c r="D66" s="100">
        <f>'[1]Cash Flow'!$D$146</f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0">
        <v>0</v>
      </c>
      <c r="R66" s="100">
        <v>0</v>
      </c>
      <c r="S66" s="100">
        <v>0</v>
      </c>
      <c r="T66" s="100">
        <v>0</v>
      </c>
      <c r="U66" s="100">
        <v>0</v>
      </c>
      <c r="V66" s="100">
        <v>0</v>
      </c>
      <c r="W66" s="100">
        <v>0</v>
      </c>
      <c r="X66" s="100">
        <v>0</v>
      </c>
      <c r="Z66" s="81"/>
    </row>
    <row r="67" spans="2:26">
      <c r="B67" s="79" t="s">
        <v>308</v>
      </c>
      <c r="C67" s="80" t="s">
        <v>309</v>
      </c>
      <c r="D67" s="100">
        <f>'[1]Cash Flow'!$D$151</f>
        <v>-5192179.0900000054</v>
      </c>
      <c r="E67" s="100">
        <v>9326602.0600000452</v>
      </c>
      <c r="F67" s="100">
        <v>1286722.1099999975</v>
      </c>
      <c r="G67" s="100">
        <v>1340260.3200000059</v>
      </c>
      <c r="H67" s="100">
        <v>2337084.9900000039</v>
      </c>
      <c r="I67" s="100">
        <v>6737623.6900000069</v>
      </c>
      <c r="J67" s="100">
        <v>338466.72000000067</v>
      </c>
      <c r="K67" s="100">
        <v>3626554.76</v>
      </c>
      <c r="L67" s="100">
        <v>2342629.9799999986</v>
      </c>
      <c r="M67" s="100">
        <v>3758568.2899999935</v>
      </c>
      <c r="N67" s="100">
        <v>2648909.7299999986</v>
      </c>
      <c r="O67" s="100">
        <v>745202.32999999635</v>
      </c>
      <c r="P67" s="100">
        <v>4397282.8399999961</v>
      </c>
      <c r="Q67" s="100">
        <v>9160412.4599999953</v>
      </c>
      <c r="R67" s="100">
        <v>17056423.289999999</v>
      </c>
      <c r="S67" s="100">
        <v>7601198.8500000108</v>
      </c>
      <c r="T67" s="100">
        <v>8802086.9899999984</v>
      </c>
      <c r="U67" s="100">
        <v>8744362.1900000032</v>
      </c>
      <c r="V67" s="100">
        <v>-3033568.9600000158</v>
      </c>
      <c r="W67" s="100">
        <v>4362644.0099999979</v>
      </c>
      <c r="X67" s="100">
        <v>9205571.6099999994</v>
      </c>
      <c r="Z67" s="81"/>
    </row>
    <row r="68" spans="2:26">
      <c r="B68" s="79" t="s">
        <v>199</v>
      </c>
      <c r="C68" s="80" t="s">
        <v>315</v>
      </c>
      <c r="D68" s="100">
        <f>'[1]Cash Flow'!$D$152</f>
        <v>0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  <c r="O68" s="100">
        <v>0</v>
      </c>
      <c r="P68" s="100">
        <v>0</v>
      </c>
      <c r="Q68" s="100">
        <v>0</v>
      </c>
      <c r="R68" s="100">
        <v>0</v>
      </c>
      <c r="S68" s="100">
        <v>0</v>
      </c>
      <c r="T68" s="100">
        <v>0</v>
      </c>
      <c r="U68" s="100">
        <v>0</v>
      </c>
      <c r="V68" s="100">
        <v>14247777.24</v>
      </c>
      <c r="W68" s="100">
        <v>0</v>
      </c>
      <c r="X68" s="100">
        <v>0</v>
      </c>
      <c r="Z68" s="81"/>
    </row>
    <row r="69" spans="2:26" ht="5.5" customHeight="1" thickBot="1">
      <c r="B69" s="75"/>
      <c r="C69" s="76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78"/>
      <c r="Z69" s="78"/>
    </row>
    <row r="70" spans="2:26" ht="11" thickBot="1">
      <c r="B70" s="95" t="s">
        <v>310</v>
      </c>
      <c r="C70" s="96" t="s">
        <v>311</v>
      </c>
      <c r="D70" s="106">
        <f t="shared" ref="D70" si="9">SUM(D66:D68)</f>
        <v>-5192179.0900000054</v>
      </c>
      <c r="E70" s="106">
        <v>9326602.0600000452</v>
      </c>
      <c r="F70" s="106">
        <v>1286722.1099999975</v>
      </c>
      <c r="G70" s="106">
        <v>1340260.3200000059</v>
      </c>
      <c r="H70" s="106">
        <v>2337084.9900000039</v>
      </c>
      <c r="I70" s="106">
        <v>6737623.6900000069</v>
      </c>
      <c r="J70" s="106">
        <v>338466.72000000067</v>
      </c>
      <c r="K70" s="106">
        <v>3626554.76</v>
      </c>
      <c r="L70" s="106">
        <v>2342629.9799999986</v>
      </c>
      <c r="M70" s="106">
        <v>3758568.2899999935</v>
      </c>
      <c r="N70" s="106">
        <v>2648909.7299999986</v>
      </c>
      <c r="O70" s="106">
        <v>745202.32999999635</v>
      </c>
      <c r="P70" s="106">
        <v>4397282.8399999961</v>
      </c>
      <c r="Q70" s="106">
        <v>9160412.4599999953</v>
      </c>
      <c r="R70" s="106">
        <v>17056423.289999999</v>
      </c>
      <c r="S70" s="106">
        <v>7601198.8500000108</v>
      </c>
      <c r="T70" s="106">
        <v>8802086.9899999984</v>
      </c>
      <c r="U70" s="106">
        <v>8744362.1900000032</v>
      </c>
      <c r="V70" s="106">
        <v>11214208.279999984</v>
      </c>
      <c r="W70" s="106">
        <v>4362644.0099999979</v>
      </c>
      <c r="X70" s="106">
        <v>9205571.6099999994</v>
      </c>
      <c r="Y70" s="84"/>
      <c r="Z70" s="78"/>
    </row>
  </sheetData>
  <pageMargins left="0.7" right="0.7" top="0.75" bottom="0.75" header="0.3" footer="0.3"/>
  <pageSetup paperSize="9" scale="1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1 7 b e 6 1 1 - 5 7 3 c - 4 b c 6 - a f 5 c - e 7 a d b 2 d 1 8 b 9 3 "   x m l n s = " h t t p : / / s c h e m a s . m i c r o s o f t . c o m / D a t a M a s h u p " > A A A A A N U G A A B Q S w M E F A A C A A g A a G N D X I u p m p q k A A A A 9 g A A A B I A H A B D b 2 5 m a W c v U G F j a 2 F n Z S 5 4 b W w g o h g A K K A U A A A A A A A A A A A A A A A A A A A A A A A A A A A A h Y 8 x D o I w G I W v Q r r T F j Q R y U 8 Z X C E h M T G u T a n Q C I X Q Y r m b g 0 f y C m I U d X N 8 3 / u G 9 + 7 X G 6 R T 2 3 g X O R j V 6 Q Q F m C J P a t G V S l c J G u 3 J j 1 D K o O D i z C v p z b I 2 8 W T K B N X W 9 j E h z j n s V r g b K h J S G p B j n u 1 F L V u O P r L 6 L / t K G 8 u 1 k I j B 4 T W G h T h Y b 3 G w i T A F s k D I l f 4 K 4 b z 3 2 f 5 A 2 I 2 N H Q f J + s Y v M i B L B P L + w B 5 Q S w M E F A A C A A g A a G N D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h j Q 1 w H v 6 O F z w M A A G E O A A A T A B w A R m 9 y b X V s Y X M v U 2 V j d G l v b j E u b S C i G A A o o B Q A A A A A A A A A A A A A A A A A A A A A A A A A A A D V V 1 1 v 2 k g U f Y + U / 3 B F X 0 B i L W y n 6 U Z V H h x C g P J l Y V e o D Z E 1 s S f J r O 0 Z N D Z J I M r D 9 i / s T + n T S v s W 8 b 8 6 x i k Y x q Y 8 V K 3 W L 4 h 7 5 u P c c 8 + 1 Z y L s x o R R s N J f 9 f 3 h w e F B d I c 4 9 u B N q c N o x A I M / g P i M Q o o L s E p B D g + P A D x L P 7 l L 1 + 9 x R c m g h c s 8 D B X L k i A o 3 J p P A 6 R + 8 d N E N V q R + r 4 h l B E I z y u M x p z F h B 6 O + 4 M + v Z w 0 G 3 3 m + N 0 D z S W 9 6 o c H h C 6 t d U m v z M U I O p i s O 4 w j g u 5 N R 5 d H C g j x v 1 r x v x y w l F J u G A a / y y u 4 9 o x a D X t L R j c n 0 Z z S A c Q D 7 m z v + g M e p Z 1 4 d x j f u J Q H L M H R A l W H o P o s V S p A p 0 G Q R V i P s W V a s p 9 K y 9 n l d 0 q q a f L d o z D 0 6 3 8 q x 1 C v d N S + u f q + f I c x e h q t W Y f 3 S 6 + v H x 9 8 A k w m D D v Y b b 4 L 5 o z O g v F v z l h I V l W 1 0 b X Q h 6 T s 5 D F u I W R q G p U z m d U h c v X c U Y Q W K 4 Y w a P T J J G r d S a f x b J U G I t B P J u s 1 7 e 5 U P m G 8 b D O g m l I 7 d k E J 7 v s w 7 H 6 9 F R K Z 6 m C g V g V Q 4 w f 4 + c q P J U s U S t L l O p 8 M D L 6 n + C s 3 T X 6 F v z y p z n 8 a B r Q M c y 2 b S z + F l w E k 4 E 9 6 I O l G I p E u v 7 K 2 b A b 5 3 B m C M r 1 B l i t R s P + y b T s V g P q S 1 J d Q X H w 0 d x J 6 / + g p b O y A K K z J e s U z I / u t 2 E P c R / H o v H B u M X U n W 2 v Z b m k i a m I t m l 8 f K Q k 1 k 3 3 I M w U b w M q + k U G e 9 g j E / F C y I M + J B m Z L W P Y k 8 E L E r G J e N u F S M b M Z V z U S 4 b q b I I 5 J e 4 0 Z z / B M 8 C + p N A y C u 1 + H X K m p P K J q F g V J d 8 J F E A z v L 7 b X m W I 5 j g s E D 9 r s h z I 0 X a B + i 7 w a A c I B M 5 6 x q 7 Z b w v A H / m g Y J h z v G u z d 9 t g m 3 q I F 8 w Y D S x 7 0 N k J O n / m 2 9 M 5 K Y i r t S J A a q X v g F S Y 7 4 B c l H U L O K p U l V U P O K q k e a Y J H F V S c A O V J B Q 9 Q t Z N U g Q 5 q i T V B i o J t m o v R 5 M 0 y 2 C S b B l M U s 7 m R B x F 8 q O O J u m 5 b m N H y z N 5 t 9 E B a 6 L A H J j C 8 p o r G S B a O l / P x E V d c o M j V 3 y i X R x B N / b 2 H + l o B U X M H y z V F P Z + q Z g d k I R M Y l K 1 R V D P D V 5 v B 5 u Y h + K A h 6 B s + D G 6 J 1 G l w O O a 5 L a s x z X J U h u o Z K l 1 B + i S p b J m 1 H e Y S p e 0 y L h E l y x k M k 9 M 8 4 F 5 n L n J S U q e n R y l j q U 8 l 9 / d 3 K C j S 1 4 8 N / o N M A f D l 3 9 G f W N U / 9 y A 3 O k F w x x d s l L 6 1 W 9 9 E o d q 9 Q T u p Q 1 f 5 0 m u S r N 5 t z H + O X O P 2 D 6 Q 7 r h O Q F m r / N 4 r h b 7 P l U J f X y l W R c a 3 7 F d d L 7 L S 5 i 3 7 / h t Q S w E C L Q A U A A I A C A B o Y 0 N c i 6 m a m q Q A A A D 2 A A A A E g A A A A A A A A A A A A A A A A A A A A A A Q 2 9 u Z m l n L 1 B h Y 2 t h Z 2 U u e G 1 s U E s B A i 0 A F A A C A A g A a G N D X A / K 6 a u k A A A A 6 Q A A A B M A A A A A A A A A A A A A A A A A 8 A A A A F t D b 2 5 0 Z W 5 0 X 1 R 5 c G V z X S 5 4 b W x Q S w E C L Q A U A A I A C A B o Y 0 N c B 7 + j h c 8 D A A B h D g A A E w A A A A A A A A A A A A A A A A D h A Q A A R m 9 y b X V s Y X M v U 2 V j d G l v b j E u b V B L B Q Y A A A A A A w A D A M I A A A D 9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V g g A A A A A A A L O C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L b 2 5 z b 2 x l J T I w a 3 d h c n R h b G 5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D d i N G E x N z E t Y j E 5 M i 0 0 O D Q x L W F i M m U t Y 2 U 0 M T U 1 M j F k M z Q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3 a W d h Y 2 p h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v b n N v b G U g a 3 d h c n R h b G 5 l L 0 F 1 d G 9 S Z W 1 v d m V k Q 2 9 s d W 1 u c z E u e 0 5 h b W U s M H 0 m c X V v d D s s J n F 1 b 3 Q 7 U 2 V j d G l v b j E v S 2 9 u c 2 9 s Z S B r d 2 F y d G F s b m U v Q X V 0 b 1 J l b W 9 2 Z W R D b 2 x 1 b W 5 z M S 5 7 R X h 0 Z W 5 z a W 9 u L D F 9 J n F 1 b 3 Q 7 L C Z x d W 9 0 O 1 N l Y 3 R p b 2 4 x L 0 t v b n N v b G U g a 3 d h c n R h b G 5 l L 0 F 1 d G 9 S Z W 1 v d m V k Q 2 9 s d W 1 u c z E u e 0 R h d G U g Y W N j Z X N z Z W Q s M n 0 m c X V v d D s s J n F 1 b 3 Q 7 U 2 V j d G l v b j E v S 2 9 u c 2 9 s Z S B r d 2 F y d G F s b m U v Q X V 0 b 1 J l b W 9 2 Z W R D b 2 x 1 b W 5 z M S 5 7 R G F 0 Z S B t b 2 R p Z m l l Z C w z f S Z x d W 9 0 O y w m c X V v d D t T Z W N 0 a W 9 u M S 9 L b 2 5 z b 2 x l I G t 3 Y X J 0 Y W x u Z S 9 B d X R v U m V t b 3 Z l Z E N v b H V t b n M x L n t E Y X R l I G N y Z W F 0 Z W Q s N H 0 m c X V v d D s s J n F 1 b 3 Q 7 U 2 V j d G l v b j E v S 2 9 u c 2 9 s Z S B r d 2 F y d G F s b m U v Q X V 0 b 1 J l b W 9 2 Z W R D b 2 x 1 b W 5 z M S 5 7 R m 9 s Z G V y I F B h d G g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S 2 9 u c 2 9 s Z S B r d 2 F y d G F s b m U v Q X V 0 b 1 J l b W 9 2 Z W R D b 2 x 1 b W 5 z M S 5 7 T m F t Z S w w f S Z x d W 9 0 O y w m c X V v d D t T Z W N 0 a W 9 u M S 9 L b 2 5 z b 2 x l I G t 3 Y X J 0 Y W x u Z S 9 B d X R v U m V t b 3 Z l Z E N v b H V t b n M x L n t F e H R l b n N p b 2 4 s M X 0 m c X V v d D s s J n F 1 b 3 Q 7 U 2 V j d G l v b j E v S 2 9 u c 2 9 s Z S B r d 2 F y d G F s b m U v Q X V 0 b 1 J l b W 9 2 Z W R D b 2 x 1 b W 5 z M S 5 7 R G F 0 Z S B h Y 2 N l c 3 N l Z C w y f S Z x d W 9 0 O y w m c X V v d D t T Z W N 0 a W 9 u M S 9 L b 2 5 z b 2 x l I G t 3 Y X J 0 Y W x u Z S 9 B d X R v U m V t b 3 Z l Z E N v b H V t b n M x L n t E Y X R l I G 1 v Z G l m a W V k L D N 9 J n F 1 b 3 Q 7 L C Z x d W 9 0 O 1 N l Y 3 R p b 2 4 x L 0 t v b n N v b G U g a 3 d h c n R h b G 5 l L 0 F 1 d G 9 S Z W 1 v d m V k Q 2 9 s d W 1 u c z E u e 0 R h d G U g Y 3 J l Y X R l Z C w 0 f S Z x d W 9 0 O y w m c X V v d D t T Z W N 0 a W 9 u M S 9 L b 2 5 z b 2 x l I G t 3 Y X J 0 Y W x u Z S 9 B d X R v U m V t b 3 Z l Z E N v b H V t b n M x L n t G b 2 x k Z X I g U G F 0 a C w 1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T m F t Z S Z x d W 9 0 O y w m c X V v d D t F e H R l b n N p b 2 4 m c X V v d D s s J n F 1 b 3 Q 7 R G F 0 Z S B h Y 2 N l c 3 N l Z C Z x d W 9 0 O y w m c X V v d D t E Y X R l I G 1 v Z G l m a W V k J n F 1 b 3 Q 7 L C Z x d W 9 0 O 0 R h d G U g Y 3 J l Y X R l Z C Z x d W 9 0 O y w m c X V v d D t G b 2 x k Z X I g U G F 0 a C Z x d W 9 0 O 1 0 i I C 8 + P E V u d H J 5 I F R 5 c G U 9 I k Z p b G x D b 2 x 1 b W 5 U e X B l c y I g V m F s d W U 9 I n N C Z 1 l I Q n d j R y I g L z 4 8 R W 5 0 c n k g V H l w Z T 0 i R m l s b E x h c 3 R V c G R h d G V k I i B W Y W x 1 Z T 0 i Z D I w M j Y t M D E t M z B U M T M 6 M T M 6 M z c u O T k z M j Y 1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x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2 9 u c 2 9 s Z S U y M G t 3 Y X J 0 Y W x u Z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x h b m N l J T I w U 2 h l Z X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N T c w O T U z N C 1 l N j h k L T R j M j c t Y T c y M i 0 3 Z j h k M z Q w Z T Y 5 M 2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U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M w V D E z O j I 0 O j U z L j E 3 M j U 1 M D Z a I i A v P j x F b n R y e S B U e X B l P S J G a W x s Q 2 9 s d W 1 u V H l w Z X M i I F Z h b H V l P S J z Q m d Z R 0 F B Q U F B d 0 1 E Q X d N R E F 3 Q U R B Q U F B Q U F B Q U F B Q U F B Q U F B Q U F B Q U F B Q U F B Q U F B Q U F B Q U F B Q U F B Q U F B Q U F B Q U F B Q U F B Q U F B Q U F B Q U F B Q U F B Q U F B Q U F B Q U F B Q U F B Q U F B Q U F B P S I g L z 4 8 R W 5 0 c n k g V H l w Z T 0 i R m l s b E N v b H V t b k 5 h b W V z I i B W Y W x 1 Z T 0 i c 1 s m c X V v d D t D b 2 x 1 b W 4 x J n F 1 b 3 Q 7 L C Z x d W 9 0 O 1 N L T 0 5 T T 0 x J R E 9 X Q U 5 Z I E J J T E F O U y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E d S V V B B I E t B U E l U Q c W B T 1 d B I E J J T 1 R P T i B T L k E u J n F 1 b 3 Q 7 L C Z x d W 9 0 O 0 N P T l N P T E l E Q V R F R C B C Q U x B T k N F I F N I R U V U I C A g I C A g I C A g I C A g I C A g I C A g I C A g I C A g I C A g I C A g I C A g I C A g I C A g I C A g I C A g I C A g I C A g I C A g I C A g I C A g I C A g I C A g I C A g I C A g I C A g I C A g I F R I R S B D Q V B J V E F M I E d S T 1 V Q I E J J T 1 R P T i B T L k E u J n F 1 b 3 Q 7 L C Z x d W 9 0 O 1 N L T 0 5 T T 0 x J R E 9 X Q U 5 Z I E J J T E F O U y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E d S V V B B I E t B U E l U Q c W B T 1 d B I E J J T 1 R P T i B T L k E u X z E m c X V v d D s s J n F 1 b 3 Q 7 Q k l P V E 9 O J n F 1 b 3 Q 7 L C Z x d W 9 0 O 0 J J T 1 R P T i A g I C A g I C A g I C A g I C A g I C A g I C A g I C A g I C A g I C A g I C A g I C A g I C A g T W F y a 2 V 0 a W 5 n I E F n Z W 5 j e S Z x d W 9 0 O y w m c X V v d D t T Y 2 l H Z W 4 m c X V v d D s s J n F 1 b 3 Q 7 Q m l v U G F y d G 5 l c n M m c X V v d D s s J n F 1 b 3 Q 7 T W V k a X B v b G l z J n F 1 b 3 Q 7 L C Z x d W 9 0 O 0 1 K I E J J T 1 B I Q V J N J n F 1 b 3 Q 7 L C Z x d W 9 0 O 0 Z p c 2 9 w a G F y b W E m c X V v d D s s J n F 1 b 3 Q 7 U G h h c m 1 h d G V 4 J n F 1 b 3 Q 7 L C Z x d W 9 0 O 0 N v c G V y b m l j d X M m c X V v d D s s J n F 1 b 3 Q 7 Q m l v b G V r J n F 1 b 3 Q 7 L C Z x d W 9 0 O 0 J p b 2 x l a y B J T k M g J n F 1 b 3 Q 7 L C Z x d W 9 0 O 0 J J T 1 R P T i B J b n R l c m 5 h d G l v b m F s I E d t Y m g m c X V v d D s s J n F 1 b 3 Q 7 U m F 6 Z W 0 m c X V v d D s s J n F 1 b 3 Q 7 Q k l P V E 9 O I F M u Q S 4 m c X V v d D s s J n F 1 b 3 Q 7 Q k l P V E 9 O I F M u Q S 5 f M i Z x d W 9 0 O y w m c X V v d D t C S U 9 U T 0 4 g U y 5 B L l 8 z J n F 1 b 3 Q 7 L C Z x d W 9 0 O 0 J J T 1 R P T i B T L k E u X z Q m c X V v d D s s J n F 1 b 3 Q 7 Q k l P V E 9 O I F M u Q S 4 g a S B C T U E m c X V v d D s s J n F 1 b 3 Q 7 Q k l P V E 9 O I F M u Q S 5 f N S Z x d W 9 0 O y w m c X V v d D t C S U 9 U T 0 4 g T W F y a 2 V 0 a W 5 n I E F n Z W 5 j e S Z x d W 9 0 O y w m c X V v d D t C S U 9 U T 0 4 g T W F y a 2 V 0 a W 5 n I E F n Z W 5 j e V 8 2 J n F 1 b 3 Q 7 L C Z x d W 9 0 O 0 J J T 1 R P T i B T L k E u X z c m c X V v d D s s J n F 1 b 3 Q 7 S W 5 k Y X I m c X V v d D s s J n F 1 b 3 Q 7 Q k l P V E 9 O I F d P U 1 R P S y Z x d W 9 0 O y w m c X V v d D t C S U 9 U T 0 4 g V 0 9 T V E 9 L X z g m c X V v d D s s J n F 1 b 3 Q 7 U 2 N p R 2 V u X z k m c X V v d D s s J n F 1 b 3 Q 7 U 2 N p R 2 V u X z E w J n F 1 b 3 Q 7 L C Z x d W 9 0 O 1 N j a U d l b l 8 x M S Z x d W 9 0 O y w m c X V v d D t T Y 2 l H Z W 5 f M T I m c X V v d D s s J n F 1 b 3 Q 7 U 2 N p R 2 V u X z E z J n F 1 b 3 Q 7 L C Z x d W 9 0 O 0 J p b 1 B h c n R u Z X J z X z E 0 J n F 1 b 3 Q 7 L C Z x d W 9 0 O 0 1 l Z G l w b 2 x p c 1 8 x N S Z x d W 9 0 O y w m c X V v d D t N S i B C S U 9 Q S E F S T V 8 x N i Z x d W 9 0 O y w m c X V v d D t N S i B C S U 9 Q S E F S T V 8 x N y Z x d W 9 0 O y w m c X V v d D t G a X N p b 3 B o Y X J t Y S Z x d W 9 0 O y w m c X V v d D t G a X N p b 3 B o Y X J t Y V 8 x O C Z x d W 9 0 O y w m c X V v d D t G a X N p b 3 B o Y X J t Y V 8 x O S Z x d W 9 0 O y w m c X V v d D t Q a G F y b W F 0 Z X h f M j A m c X V v d D s s J n F 1 b 3 Q 7 U G h h c m 1 h d G V 4 X z I x J n F 1 b 3 Q 7 L C Z x d W 9 0 O 1 B o Y X J t Y X R l e F 8 y M i Z x d W 9 0 O y w m c X V v d D t U c m l j Z W w m c X V v d D s s J n F 1 b 3 Q 7 V H J p Y 2 V s X z I z J n F 1 b 3 Q 7 L C Z x d W 9 0 O 0 N v c G V y b m l j d X N f M j Q m c X V v d D s s J n F 1 b 3 Q 7 Q k l P T E V L I F N w L i B 6 I G 8 u b y 4 m c X V v d D s s J n F 1 b 3 Q 7 Q k l P T E V L I E l O Q y Z x d W 9 0 O y w m c X V v d D t N S i B C S U 9 U T 0 4 g T G l m Z X N j a W V u Y 2 V z I E x 0 Z C Z x d W 9 0 O y w m c X V v d D t N S i B C S U 9 U T 0 4 g T G l m Z X N j a W V u Y 2 V z I E x 0 Z F 8 y N S Z x d W 9 0 O y w m c X V v d D t N S i B C S U 9 U T 0 4 g T G l m Z X N j a W V u Y 2 V z I E x 0 Z F 8 y N i Z x d W 9 0 O y w m c X V v d D s g Q k l P V E 9 O I E l u d G V y b m F 0 a W 9 u Y W w g R 2 1 i a C Z x d W 9 0 O y w m c X V v d D t Q S y A y J n F 1 b 3 Q 7 L C Z x d W 9 0 O 1 B L I D J h J n F 1 b 3 Q 7 L C Z x d W 9 0 O 1 B L I D N h J n F 1 b 3 Q 7 L C Z x d W 9 0 O 1 B L I D N i J n F 1 b 3 Q 7 L C Z x d W 9 0 O 0 d l c m 1 v b n R h I C h B a 3 R h d m l z K S Z x d W 9 0 O y w m c X V v d D t T Y 2 l H Z W 5 f M j c m c X V v d D s s J n F 1 b 3 Q 7 Q m l v U G F y d G 5 l c n N f M j g m c X V v d D s s J n F 1 b 3 Q 7 Q m l v U G F y d G 5 l c n N f M j k m c X V v d D s s J n F 1 b 3 Q 7 T W V k a X B v b G l z X z M w J n F 1 b 3 Q 7 L C Z x d W 9 0 O 0 Z p c 2 l v c G h h c m 1 h X z M x J n F 1 b 3 Q 7 L C Z x d W 9 0 O 1 B o Y X J t Y X R l e F 8 z M i Z x d W 9 0 O y w m c X V v d D t D b 3 B l c m 5 p Y 3 V z X z M z J n F 1 b 3 Q 7 L C Z x d W 9 0 O 1 B v Z G F 0 Z W s g b 2 R y b 2 N 6 b 2 5 5 J n F 1 b 3 Q 7 L C Z x d W 9 0 O 0 N v b H V t b j Y 3 J n F 1 b 3 Q 7 L C Z x d W 9 0 O 0 d S V V B B J n F 1 b 3 Q 7 L C Z x d W 9 0 O 0 d S V V B B X z M 0 J n F 1 b 3 Q 7 L C Z x d W 9 0 O 0 R B T k U g U E 9 S w 5 N X T k F X Q 1 p F I E d S V V B B J n F 1 b 3 Q 7 L C Z x d W 9 0 O 0 R B T k U g U E 9 S w 5 N X T k F X Q 1 p F I E d S V V B B X z M 1 J n F 1 b 3 Q 7 L C Z x d W 9 0 O 0 d S V V B B I E h Z I D I w M T k g d j Q m c X V v d D s s J n F 1 b 3 Q 7 R 1 J V U E F f M z Y m c X V v d D s s J n F 1 b 3 Q 7 Q 2 9 s d W 1 u N z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F s Y W 5 j Z S B T a G V l d C 9 B d X R v U m V t b 3 Z l Z E N v b H V t b n M x L n t D b 2 x 1 b W 4 x L D B 9 J n F 1 b 3 Q 7 L C Z x d W 9 0 O 1 N l Y 3 R p b 2 4 x L 0 J h b G F u Y 2 U g U 2 h l Z X Q v Q X V 0 b 1 J l b W 9 2 Z W R D b 2 x 1 b W 5 z M S 5 7 U 0 t P T l N P T E l E T 1 d B T l k g Q k l M Q U 5 T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R 1 J V U E E g S 0 F Q S V R B x Y F P V 0 E g Q k l P V E 9 O I F M u Q S 4 s M X 0 m c X V v d D s s J n F 1 b 3 Q 7 U 2 V j d G l v b j E v Q m F s Y W 5 j Z S B T a G V l d C 9 B d X R v U m V t b 3 Z l Z E N v b H V t b n M x L n t D T 0 5 T T 0 x J R E F U R U Q g Q k F M Q U 5 D R S B T S E V F V C A g I C A g I C A g I C A g I C A g I C A g I C A g I C A g I C A g I C A g I C A g I C A g I C A g I C A g I C A g I C A g I C A g I C A g I C A g I C A g I C A g I C A g I C A g I C A g I C A g I C A g I C B U S E U g Q 0 F Q S V R B T C B H U k 9 V U C B C S U 9 U T 0 4 g U y 5 B L i w y f S Z x d W 9 0 O y w m c X V v d D t T Z W N 0 a W 9 u M S 9 C Y W x h b m N l I F N o Z W V 0 L 0 F 1 d G 9 S Z W 1 v d m V k Q 2 9 s d W 1 u c z E u e 1 N L T 0 5 T T 0 x J R E 9 X Q U 5 Z I E J J T E F O U y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E d S V V B B I E t B U E l U Q c W B T 1 d B I E J J T 1 R P T i B T L k E u X z E s M 3 0 m c X V v d D s s J n F 1 b 3 Q 7 U 2 V j d G l v b j E v Q m F s Y W 5 j Z S B T a G V l d C 9 B d X R v U m V t b 3 Z l Z E N v b H V t b n M x L n t C S U 9 U T 0 4 s N H 0 m c X V v d D s s J n F 1 b 3 Q 7 U 2 V j d G l v b j E v Q m F s Y W 5 j Z S B T a G V l d C 9 B d X R v U m V t b 3 Z l Z E N v b H V t b n M x L n t C S U 9 U T 0 4 g I C A g I C A g I C A g I C A g I C A g I C A g I C A g I C A g I C A g I C A g I C A g I C A g I E 1 h c m t l d G l u Z y B B Z 2 V u Y 3 k s N X 0 m c X V v d D s s J n F 1 b 3 Q 7 U 2 V j d G l v b j E v Q m F s Y W 5 j Z S B T a G V l d C 9 B d X R v U m V t b 3 Z l Z E N v b H V t b n M x L n t T Y 2 l H Z W 4 s N n 0 m c X V v d D s s J n F 1 b 3 Q 7 U 2 V j d G l v b j E v Q m F s Y W 5 j Z S B T a G V l d C 9 B d X R v U m V t b 3 Z l Z E N v b H V t b n M x L n t C a W 9 Q Y X J 0 b m V y c y w 3 f S Z x d W 9 0 O y w m c X V v d D t T Z W N 0 a W 9 u M S 9 C Y W x h b m N l I F N o Z W V 0 L 0 F 1 d G 9 S Z W 1 v d m V k Q 2 9 s d W 1 u c z E u e 0 1 l Z G l w b 2 x p c y w 4 f S Z x d W 9 0 O y w m c X V v d D t T Z W N 0 a W 9 u M S 9 C Y W x h b m N l I F N o Z W V 0 L 0 F 1 d G 9 S Z W 1 v d m V k Q 2 9 s d W 1 u c z E u e 0 1 K I E J J T 1 B I Q V J N L D l 9 J n F 1 b 3 Q 7 L C Z x d W 9 0 O 1 N l Y 3 R p b 2 4 x L 0 J h b G F u Y 2 U g U 2 h l Z X Q v Q X V 0 b 1 J l b W 9 2 Z W R D b 2 x 1 b W 5 z M S 5 7 R m l z b 3 B o Y X J t Y S w x M H 0 m c X V v d D s s J n F 1 b 3 Q 7 U 2 V j d G l v b j E v Q m F s Y W 5 j Z S B T a G V l d C 9 B d X R v U m V t b 3 Z l Z E N v b H V t b n M x L n t Q a G F y b W F 0 Z X g s M T F 9 J n F 1 b 3 Q 7 L C Z x d W 9 0 O 1 N l Y 3 R p b 2 4 x L 0 J h b G F u Y 2 U g U 2 h l Z X Q v Q X V 0 b 1 J l b W 9 2 Z W R D b 2 x 1 b W 5 z M S 5 7 Q 2 9 w Z X J u a W N 1 c y w x M n 0 m c X V v d D s s J n F 1 b 3 Q 7 U 2 V j d G l v b j E v Q m F s Y W 5 j Z S B T a G V l d C 9 B d X R v U m V t b 3 Z l Z E N v b H V t b n M x L n t C a W 9 s Z W s s M T N 9 J n F 1 b 3 Q 7 L C Z x d W 9 0 O 1 N l Y 3 R p b 2 4 x L 0 J h b G F u Y 2 U g U 2 h l Z X Q v Q X V 0 b 1 J l b W 9 2 Z W R D b 2 x 1 b W 5 z M S 5 7 Q m l v b G V r I E l O Q y A s M T R 9 J n F 1 b 3 Q 7 L C Z x d W 9 0 O 1 N l Y 3 R p b 2 4 x L 0 J h b G F u Y 2 U g U 2 h l Z X Q v Q X V 0 b 1 J l b W 9 2 Z W R D b 2 x 1 b W 5 z M S 5 7 Q k l P V E 9 O I E l u d G V y b m F 0 a W 9 u Y W w g R 2 1 i a C w x N X 0 m c X V v d D s s J n F 1 b 3 Q 7 U 2 V j d G l v b j E v Q m F s Y W 5 j Z S B T a G V l d C 9 B d X R v U m V t b 3 Z l Z E N v b H V t b n M x L n t S Y X p l b S w x N n 0 m c X V v d D s s J n F 1 b 3 Q 7 U 2 V j d G l v b j E v Q m F s Y W 5 j Z S B T a G V l d C 9 B d X R v U m V t b 3 Z l Z E N v b H V t b n M x L n t C S U 9 U T 0 4 g U y 5 B L i w x N 3 0 m c X V v d D s s J n F 1 b 3 Q 7 U 2 V j d G l v b j E v Q m F s Y W 5 j Z S B T a G V l d C 9 B d X R v U m V t b 3 Z l Z E N v b H V t b n M x L n t C S U 9 U T 0 4 g U y 5 B L l 8 y L D E 4 f S Z x d W 9 0 O y w m c X V v d D t T Z W N 0 a W 9 u M S 9 C Y W x h b m N l I F N o Z W V 0 L 0 F 1 d G 9 S Z W 1 v d m V k Q 2 9 s d W 1 u c z E u e 0 J J T 1 R P T i B T L k E u X z M s M T l 9 J n F 1 b 3 Q 7 L C Z x d W 9 0 O 1 N l Y 3 R p b 2 4 x L 0 J h b G F u Y 2 U g U 2 h l Z X Q v Q X V 0 b 1 J l b W 9 2 Z W R D b 2 x 1 b W 5 z M S 5 7 Q k l P V E 9 O I F M u Q S 5 f N C w y M H 0 m c X V v d D s s J n F 1 b 3 Q 7 U 2 V j d G l v b j E v Q m F s Y W 5 j Z S B T a G V l d C 9 B d X R v U m V t b 3 Z l Z E N v b H V t b n M x L n t C S U 9 U T 0 4 g U y 5 B L i B p I E J N Q S w y M X 0 m c X V v d D s s J n F 1 b 3 Q 7 U 2 V j d G l v b j E v Q m F s Y W 5 j Z S B T a G V l d C 9 B d X R v U m V t b 3 Z l Z E N v b H V t b n M x L n t C S U 9 U T 0 4 g U y 5 B L l 8 1 L D I y f S Z x d W 9 0 O y w m c X V v d D t T Z W N 0 a W 9 u M S 9 C Y W x h b m N l I F N o Z W V 0 L 0 F 1 d G 9 S Z W 1 v d m V k Q 2 9 s d W 1 u c z E u e 0 J J T 1 R P T i B N Y X J r Z X R p b m c g Q W d l b m N 5 L D I z f S Z x d W 9 0 O y w m c X V v d D t T Z W N 0 a W 9 u M S 9 C Y W x h b m N l I F N o Z W V 0 L 0 F 1 d G 9 S Z W 1 v d m V k Q 2 9 s d W 1 u c z E u e 0 J J T 1 R P T i B N Y X J r Z X R p b m c g Q W d l b m N 5 X z Y s M j R 9 J n F 1 b 3 Q 7 L C Z x d W 9 0 O 1 N l Y 3 R p b 2 4 x L 0 J h b G F u Y 2 U g U 2 h l Z X Q v Q X V 0 b 1 J l b W 9 2 Z W R D b 2 x 1 b W 5 z M S 5 7 Q k l P V E 9 O I F M u Q S 5 f N y w y N X 0 m c X V v d D s s J n F 1 b 3 Q 7 U 2 V j d G l v b j E v Q m F s Y W 5 j Z S B T a G V l d C 9 B d X R v U m V t b 3 Z l Z E N v b H V t b n M x L n t J b m R h c i w y N n 0 m c X V v d D s s J n F 1 b 3 Q 7 U 2 V j d G l v b j E v Q m F s Y W 5 j Z S B T a G V l d C 9 B d X R v U m V t b 3 Z l Z E N v b H V t b n M x L n t C S U 9 U T 0 4 g V 0 9 T V E 9 L L D I 3 f S Z x d W 9 0 O y w m c X V v d D t T Z W N 0 a W 9 u M S 9 C Y W x h b m N l I F N o Z W V 0 L 0 F 1 d G 9 S Z W 1 v d m V k Q 2 9 s d W 1 u c z E u e 0 J J T 1 R P T i B X T 1 N U T 0 t f O C w y O H 0 m c X V v d D s s J n F 1 b 3 Q 7 U 2 V j d G l v b j E v Q m F s Y W 5 j Z S B T a G V l d C 9 B d X R v U m V t b 3 Z l Z E N v b H V t b n M x L n t T Y 2 l H Z W 5 f O S w y O X 0 m c X V v d D s s J n F 1 b 3 Q 7 U 2 V j d G l v b j E v Q m F s Y W 5 j Z S B T a G V l d C 9 B d X R v U m V t b 3 Z l Z E N v b H V t b n M x L n t T Y 2 l H Z W 5 f M T A s M z B 9 J n F 1 b 3 Q 7 L C Z x d W 9 0 O 1 N l Y 3 R p b 2 4 x L 0 J h b G F u Y 2 U g U 2 h l Z X Q v Q X V 0 b 1 J l b W 9 2 Z W R D b 2 x 1 b W 5 z M S 5 7 U 2 N p R 2 V u X z E x L D M x f S Z x d W 9 0 O y w m c X V v d D t T Z W N 0 a W 9 u M S 9 C Y W x h b m N l I F N o Z W V 0 L 0 F 1 d G 9 S Z W 1 v d m V k Q 2 9 s d W 1 u c z E u e 1 N j a U d l b l 8 x M i w z M n 0 m c X V v d D s s J n F 1 b 3 Q 7 U 2 V j d G l v b j E v Q m F s Y W 5 j Z S B T a G V l d C 9 B d X R v U m V t b 3 Z l Z E N v b H V t b n M x L n t T Y 2 l H Z W 5 f M T M s M z N 9 J n F 1 b 3 Q 7 L C Z x d W 9 0 O 1 N l Y 3 R p b 2 4 x L 0 J h b G F u Y 2 U g U 2 h l Z X Q v Q X V 0 b 1 J l b W 9 2 Z W R D b 2 x 1 b W 5 z M S 5 7 Q m l v U G F y d G 5 l c n N f M T Q s M z R 9 J n F 1 b 3 Q 7 L C Z x d W 9 0 O 1 N l Y 3 R p b 2 4 x L 0 J h b G F u Y 2 U g U 2 h l Z X Q v Q X V 0 b 1 J l b W 9 2 Z W R D b 2 x 1 b W 5 z M S 5 7 T W V k a X B v b G l z X z E 1 L D M 1 f S Z x d W 9 0 O y w m c X V v d D t T Z W N 0 a W 9 u M S 9 C Y W x h b m N l I F N o Z W V 0 L 0 F 1 d G 9 S Z W 1 v d m V k Q 2 9 s d W 1 u c z E u e 0 1 K I E J J T 1 B I Q V J N X z E 2 L D M 2 f S Z x d W 9 0 O y w m c X V v d D t T Z W N 0 a W 9 u M S 9 C Y W x h b m N l I F N o Z W V 0 L 0 F 1 d G 9 S Z W 1 v d m V k Q 2 9 s d W 1 u c z E u e 0 1 K I E J J T 1 B I Q V J N X z E 3 L D M 3 f S Z x d W 9 0 O y w m c X V v d D t T Z W N 0 a W 9 u M S 9 C Y W x h b m N l I F N o Z W V 0 L 0 F 1 d G 9 S Z W 1 v d m V k Q 2 9 s d W 1 u c z E u e 0 Z p c 2 l v c G h h c m 1 h L D M 4 f S Z x d W 9 0 O y w m c X V v d D t T Z W N 0 a W 9 u M S 9 C Y W x h b m N l I F N o Z W V 0 L 0 F 1 d G 9 S Z W 1 v d m V k Q 2 9 s d W 1 u c z E u e 0 Z p c 2 l v c G h h c m 1 h X z E 4 L D M 5 f S Z x d W 9 0 O y w m c X V v d D t T Z W N 0 a W 9 u M S 9 C Y W x h b m N l I F N o Z W V 0 L 0 F 1 d G 9 S Z W 1 v d m V k Q 2 9 s d W 1 u c z E u e 0 Z p c 2 l v c G h h c m 1 h X z E 5 L D Q w f S Z x d W 9 0 O y w m c X V v d D t T Z W N 0 a W 9 u M S 9 C Y W x h b m N l I F N o Z W V 0 L 0 F 1 d G 9 S Z W 1 v d m V k Q 2 9 s d W 1 u c z E u e 1 B o Y X J t Y X R l e F 8 y M C w 0 M X 0 m c X V v d D s s J n F 1 b 3 Q 7 U 2 V j d G l v b j E v Q m F s Y W 5 j Z S B T a G V l d C 9 B d X R v U m V t b 3 Z l Z E N v b H V t b n M x L n t Q a G F y b W F 0 Z X h f M j E s N D J 9 J n F 1 b 3 Q 7 L C Z x d W 9 0 O 1 N l Y 3 R p b 2 4 x L 0 J h b G F u Y 2 U g U 2 h l Z X Q v Q X V 0 b 1 J l b W 9 2 Z W R D b 2 x 1 b W 5 z M S 5 7 U G h h c m 1 h d G V 4 X z I y L D Q z f S Z x d W 9 0 O y w m c X V v d D t T Z W N 0 a W 9 u M S 9 C Y W x h b m N l I F N o Z W V 0 L 0 F 1 d G 9 S Z W 1 v d m V k Q 2 9 s d W 1 u c z E u e 1 R y a W N l b C w 0 N H 0 m c X V v d D s s J n F 1 b 3 Q 7 U 2 V j d G l v b j E v Q m F s Y W 5 j Z S B T a G V l d C 9 B d X R v U m V t b 3 Z l Z E N v b H V t b n M x L n t U c m l j Z W x f M j M s N D V 9 J n F 1 b 3 Q 7 L C Z x d W 9 0 O 1 N l Y 3 R p b 2 4 x L 0 J h b G F u Y 2 U g U 2 h l Z X Q v Q X V 0 b 1 J l b W 9 2 Z W R D b 2 x 1 b W 5 z M S 5 7 Q 2 9 w Z X J u a W N 1 c 1 8 y N C w 0 N n 0 m c X V v d D s s J n F 1 b 3 Q 7 U 2 V j d G l v b j E v Q m F s Y W 5 j Z S B T a G V l d C 9 B d X R v U m V t b 3 Z l Z E N v b H V t b n M x L n t C S U 9 M R U s g U 3 A u I H o g b y 5 v L i w 0 N 3 0 m c X V v d D s s J n F 1 b 3 Q 7 U 2 V j d G l v b j E v Q m F s Y W 5 j Z S B T a G V l d C 9 B d X R v U m V t b 3 Z l Z E N v b H V t b n M x L n t C S U 9 M R U s g S U 5 D L D Q 4 f S Z x d W 9 0 O y w m c X V v d D t T Z W N 0 a W 9 u M S 9 C Y W x h b m N l I F N o Z W V 0 L 0 F 1 d G 9 S Z W 1 v d m V k Q 2 9 s d W 1 u c z E u e 0 1 K I E J J T 1 R P T i B M a W Z l c 2 N p Z W 5 j Z X M g T H R k L D Q 5 f S Z x d W 9 0 O y w m c X V v d D t T Z W N 0 a W 9 u M S 9 C Y W x h b m N l I F N o Z W V 0 L 0 F 1 d G 9 S Z W 1 v d m V k Q 2 9 s d W 1 u c z E u e 0 1 K I E J J T 1 R P T i B M a W Z l c 2 N p Z W 5 j Z X M g T H R k X z I 1 L D U w f S Z x d W 9 0 O y w m c X V v d D t T Z W N 0 a W 9 u M S 9 C Y W x h b m N l I F N o Z W V 0 L 0 F 1 d G 9 S Z W 1 v d m V k Q 2 9 s d W 1 u c z E u e 0 1 K I E J J T 1 R P T i B M a W Z l c 2 N p Z W 5 j Z X M g T H R k X z I 2 L D U x f S Z x d W 9 0 O y w m c X V v d D t T Z W N 0 a W 9 u M S 9 C Y W x h b m N l I F N o Z W V 0 L 0 F 1 d G 9 S Z W 1 v d m V k Q 2 9 s d W 1 u c z E u e y B C S U 9 U T 0 4 g S W 5 0 Z X J u Y X R p b 2 5 h b C B H b W J o L D U y f S Z x d W 9 0 O y w m c X V v d D t T Z W N 0 a W 9 u M S 9 C Y W x h b m N l I F N o Z W V 0 L 0 F 1 d G 9 S Z W 1 v d m V k Q 2 9 s d W 1 u c z E u e 1 B L I D I s N T N 9 J n F 1 b 3 Q 7 L C Z x d W 9 0 O 1 N l Y 3 R p b 2 4 x L 0 J h b G F u Y 2 U g U 2 h l Z X Q v Q X V 0 b 1 J l b W 9 2 Z W R D b 2 x 1 b W 5 z M S 5 7 U E s g M m E s N T R 9 J n F 1 b 3 Q 7 L C Z x d W 9 0 O 1 N l Y 3 R p b 2 4 x L 0 J h b G F u Y 2 U g U 2 h l Z X Q v Q X V 0 b 1 J l b W 9 2 Z W R D b 2 x 1 b W 5 z M S 5 7 U E s g M 2 E s N T V 9 J n F 1 b 3 Q 7 L C Z x d W 9 0 O 1 N l Y 3 R p b 2 4 x L 0 J h b G F u Y 2 U g U 2 h l Z X Q v Q X V 0 b 1 J l b W 9 2 Z W R D b 2 x 1 b W 5 z M S 5 7 U E s g M 2 I s N T Z 9 J n F 1 b 3 Q 7 L C Z x d W 9 0 O 1 N l Y 3 R p b 2 4 x L 0 J h b G F u Y 2 U g U 2 h l Z X Q v Q X V 0 b 1 J l b W 9 2 Z W R D b 2 x 1 b W 5 z M S 5 7 R 2 V y b W 9 u d G E g K E F r d G F 2 a X M p L D U 3 f S Z x d W 9 0 O y w m c X V v d D t T Z W N 0 a W 9 u M S 9 C Y W x h b m N l I F N o Z W V 0 L 0 F 1 d G 9 S Z W 1 v d m V k Q 2 9 s d W 1 u c z E u e 1 N j a U d l b l 8 y N y w 1 O H 0 m c X V v d D s s J n F 1 b 3 Q 7 U 2 V j d G l v b j E v Q m F s Y W 5 j Z S B T a G V l d C 9 B d X R v U m V t b 3 Z l Z E N v b H V t b n M x L n t C a W 9 Q Y X J 0 b m V y c 1 8 y O C w 1 O X 0 m c X V v d D s s J n F 1 b 3 Q 7 U 2 V j d G l v b j E v Q m F s Y W 5 j Z S B T a G V l d C 9 B d X R v U m V t b 3 Z l Z E N v b H V t b n M x L n t C a W 9 Q Y X J 0 b m V y c 1 8 y O S w 2 M H 0 m c X V v d D s s J n F 1 b 3 Q 7 U 2 V j d G l v b j E v Q m F s Y W 5 j Z S B T a G V l d C 9 B d X R v U m V t b 3 Z l Z E N v b H V t b n M x L n t N Z W R p c G 9 s a X N f M z A s N j F 9 J n F 1 b 3 Q 7 L C Z x d W 9 0 O 1 N l Y 3 R p b 2 4 x L 0 J h b G F u Y 2 U g U 2 h l Z X Q v Q X V 0 b 1 J l b W 9 2 Z W R D b 2 x 1 b W 5 z M S 5 7 R m l z a W 9 w a G F y b W F f M z E s N j J 9 J n F 1 b 3 Q 7 L C Z x d W 9 0 O 1 N l Y 3 R p b 2 4 x L 0 J h b G F u Y 2 U g U 2 h l Z X Q v Q X V 0 b 1 J l b W 9 2 Z W R D b 2 x 1 b W 5 z M S 5 7 U G h h c m 1 h d G V 4 X z M y L D Y z f S Z x d W 9 0 O y w m c X V v d D t T Z W N 0 a W 9 u M S 9 C Y W x h b m N l I F N o Z W V 0 L 0 F 1 d G 9 S Z W 1 v d m V k Q 2 9 s d W 1 u c z E u e 0 N v c G V y b m l j d X N f M z M s N j R 9 J n F 1 b 3 Q 7 L C Z x d W 9 0 O 1 N l Y 3 R p b 2 4 x L 0 J h b G F u Y 2 U g U 2 h l Z X Q v Q X V 0 b 1 J l b W 9 2 Z W R D b 2 x 1 b W 5 z M S 5 7 U G 9 k Y X R l a y B v Z H J v Y 3 p v b n k s N j V 9 J n F 1 b 3 Q 7 L C Z x d W 9 0 O 1 N l Y 3 R p b 2 4 x L 0 J h b G F u Y 2 U g U 2 h l Z X Q v Q X V 0 b 1 J l b W 9 2 Z W R D b 2 x 1 b W 5 z M S 5 7 Q 2 9 s d W 1 u N j c s N j Z 9 J n F 1 b 3 Q 7 L C Z x d W 9 0 O 1 N l Y 3 R p b 2 4 x L 0 J h b G F u Y 2 U g U 2 h l Z X Q v Q X V 0 b 1 J l b W 9 2 Z W R D b 2 x 1 b W 5 z M S 5 7 R 1 J V U E E s N j d 9 J n F 1 b 3 Q 7 L C Z x d W 9 0 O 1 N l Y 3 R p b 2 4 x L 0 J h b G F u Y 2 U g U 2 h l Z X Q v Q X V 0 b 1 J l b W 9 2 Z W R D b 2 x 1 b W 5 z M S 5 7 R 1 J V U E F f M z Q s N j h 9 J n F 1 b 3 Q 7 L C Z x d W 9 0 O 1 N l Y 3 R p b 2 4 x L 0 J h b G F u Y 2 U g U 2 h l Z X Q v Q X V 0 b 1 J l b W 9 2 Z W R D b 2 x 1 b W 5 z M S 5 7 R E F O R S B Q T 1 L D k 1 d O Q V d D W k U g R 1 J V U E E s N j l 9 J n F 1 b 3 Q 7 L C Z x d W 9 0 O 1 N l Y 3 R p b 2 4 x L 0 J h b G F u Y 2 U g U 2 h l Z X Q v Q X V 0 b 1 J l b W 9 2 Z W R D b 2 x 1 b W 5 z M S 5 7 R E F O R S B Q T 1 L D k 1 d O Q V d D W k U g R 1 J V U E F f M z U s N z B 9 J n F 1 b 3 Q 7 L C Z x d W 9 0 O 1 N l Y 3 R p b 2 4 x L 0 J h b G F u Y 2 U g U 2 h l Z X Q v Q X V 0 b 1 J l b W 9 2 Z W R D b 2 x 1 b W 5 z M S 5 7 R 1 J V U E E g S F k g M j A x O S B 2 N C w 3 M X 0 m c X V v d D s s J n F 1 b 3 Q 7 U 2 V j d G l v b j E v Q m F s Y W 5 j Z S B T a G V l d C 9 B d X R v U m V t b 3 Z l Z E N v b H V t b n M x L n t H U l V Q Q V 8 z N i w 3 M n 0 m c X V v d D s s J n F 1 b 3 Q 7 U 2 V j d G l v b j E v Q m F s Y W 5 j Z S B T a G V l d C 9 B d X R v U m V t b 3 Z l Z E N v b H V t b n M x L n t D b 2 x 1 b W 4 3 N C w 3 M 3 0 m c X V v d D t d L C Z x d W 9 0 O 0 N v b H V t b k N v d W 5 0 J n F 1 b 3 Q 7 O j c 0 L C Z x d W 9 0 O 0 t l e U N v b H V t b k 5 h b W V z J n F 1 b 3 Q 7 O l t d L C Z x d W 9 0 O 0 N v b H V t b k l k Z W 5 0 a X R p Z X M m c X V v d D s 6 W y Z x d W 9 0 O 1 N l Y 3 R p b 2 4 x L 0 J h b G F u Y 2 U g U 2 h l Z X Q v Q X V 0 b 1 J l b W 9 2 Z W R D b 2 x 1 b W 5 z M S 5 7 Q 2 9 s d W 1 u M S w w f S Z x d W 9 0 O y w m c X V v d D t T Z W N 0 a W 9 u M S 9 C Y W x h b m N l I F N o Z W V 0 L 0 F 1 d G 9 S Z W 1 v d m V k Q 2 9 s d W 1 u c z E u e 1 N L T 0 5 T T 0 x J R E 9 X Q U 5 Z I E J J T E F O U y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E d S V V B B I E t B U E l U Q c W B T 1 d B I E J J T 1 R P T i B T L k E u L D F 9 J n F 1 b 3 Q 7 L C Z x d W 9 0 O 1 N l Y 3 R p b 2 4 x L 0 J h b G F u Y 2 U g U 2 h l Z X Q v Q X V 0 b 1 J l b W 9 2 Z W R D b 2 x 1 b W 5 z M S 5 7 Q 0 9 O U 0 9 M S U R B V E V E I E J B T E F O Q 0 U g U 0 h F R V Q g I C A g I C A g I C A g I C A g I C A g I C A g I C A g I C A g I C A g I C A g I C A g I C A g I C A g I C A g I C A g I C A g I C A g I C A g I C A g I C A g I C A g I C A g I C A g I C A g I C A g I C A g V E h F I E N B U E l U Q U w g R 1 J P V V A g Q k l P V E 9 O I F M u Q S 4 s M n 0 m c X V v d D s s J n F 1 b 3 Q 7 U 2 V j d G l v b j E v Q m F s Y W 5 j Z S B T a G V l d C 9 B d X R v U m V t b 3 Z l Z E N v b H V t b n M x L n t T S 0 9 O U 0 9 M S U R P V 0 F O W S B C S U x B T l M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B H U l V Q Q S B L Q V B J V E H F g U 9 X Q S B C S U 9 U T 0 4 g U y 5 B L l 8 x L D N 9 J n F 1 b 3 Q 7 L C Z x d W 9 0 O 1 N l Y 3 R p b 2 4 x L 0 J h b G F u Y 2 U g U 2 h l Z X Q v Q X V 0 b 1 J l b W 9 2 Z W R D b 2 x 1 b W 5 z M S 5 7 Q k l P V E 9 O L D R 9 J n F 1 b 3 Q 7 L C Z x d W 9 0 O 1 N l Y 3 R p b 2 4 x L 0 J h b G F u Y 2 U g U 2 h l Z X Q v Q X V 0 b 1 J l b W 9 2 Z W R D b 2 x 1 b W 5 z M S 5 7 Q k l P V E 9 O I C A g I C A g I C A g I C A g I C A g I C A g I C A g I C A g I C A g I C A g I C A g I C A g I C B N Y X J r Z X R p b m c g Q W d l b m N 5 L D V 9 J n F 1 b 3 Q 7 L C Z x d W 9 0 O 1 N l Y 3 R p b 2 4 x L 0 J h b G F u Y 2 U g U 2 h l Z X Q v Q X V 0 b 1 J l b W 9 2 Z W R D b 2 x 1 b W 5 z M S 5 7 U 2 N p R 2 V u L D Z 9 J n F 1 b 3 Q 7 L C Z x d W 9 0 O 1 N l Y 3 R p b 2 4 x L 0 J h b G F u Y 2 U g U 2 h l Z X Q v Q X V 0 b 1 J l b W 9 2 Z W R D b 2 x 1 b W 5 z M S 5 7 Q m l v U G F y d G 5 l c n M s N 3 0 m c X V v d D s s J n F 1 b 3 Q 7 U 2 V j d G l v b j E v Q m F s Y W 5 j Z S B T a G V l d C 9 B d X R v U m V t b 3 Z l Z E N v b H V t b n M x L n t N Z W R p c G 9 s a X M s O H 0 m c X V v d D s s J n F 1 b 3 Q 7 U 2 V j d G l v b j E v Q m F s Y W 5 j Z S B T a G V l d C 9 B d X R v U m V t b 3 Z l Z E N v b H V t b n M x L n t N S i B C S U 9 Q S E F S T S w 5 f S Z x d W 9 0 O y w m c X V v d D t T Z W N 0 a W 9 u M S 9 C Y W x h b m N l I F N o Z W V 0 L 0 F 1 d G 9 S Z W 1 v d m V k Q 2 9 s d W 1 u c z E u e 0 Z p c 2 9 w a G F y b W E s M T B 9 J n F 1 b 3 Q 7 L C Z x d W 9 0 O 1 N l Y 3 R p b 2 4 x L 0 J h b G F u Y 2 U g U 2 h l Z X Q v Q X V 0 b 1 J l b W 9 2 Z W R D b 2 x 1 b W 5 z M S 5 7 U G h h c m 1 h d G V 4 L D E x f S Z x d W 9 0 O y w m c X V v d D t T Z W N 0 a W 9 u M S 9 C Y W x h b m N l I F N o Z W V 0 L 0 F 1 d G 9 S Z W 1 v d m V k Q 2 9 s d W 1 u c z E u e 0 N v c G V y b m l j d X M s M T J 9 J n F 1 b 3 Q 7 L C Z x d W 9 0 O 1 N l Y 3 R p b 2 4 x L 0 J h b G F u Y 2 U g U 2 h l Z X Q v Q X V 0 b 1 J l b W 9 2 Z W R D b 2 x 1 b W 5 z M S 5 7 Q m l v b G V r L D E z f S Z x d W 9 0 O y w m c X V v d D t T Z W N 0 a W 9 u M S 9 C Y W x h b m N l I F N o Z W V 0 L 0 F 1 d G 9 S Z W 1 v d m V k Q 2 9 s d W 1 u c z E u e 0 J p b 2 x l a y B J T k M g L D E 0 f S Z x d W 9 0 O y w m c X V v d D t T Z W N 0 a W 9 u M S 9 C Y W x h b m N l I F N o Z W V 0 L 0 F 1 d G 9 S Z W 1 v d m V k Q 2 9 s d W 1 u c z E u e 0 J J T 1 R P T i B J b n R l c m 5 h d G l v b m F s I E d t Y m g s M T V 9 J n F 1 b 3 Q 7 L C Z x d W 9 0 O 1 N l Y 3 R p b 2 4 x L 0 J h b G F u Y 2 U g U 2 h l Z X Q v Q X V 0 b 1 J l b W 9 2 Z W R D b 2 x 1 b W 5 z M S 5 7 U m F 6 Z W 0 s M T Z 9 J n F 1 b 3 Q 7 L C Z x d W 9 0 O 1 N l Y 3 R p b 2 4 x L 0 J h b G F u Y 2 U g U 2 h l Z X Q v Q X V 0 b 1 J l b W 9 2 Z W R D b 2 x 1 b W 5 z M S 5 7 Q k l P V E 9 O I F M u Q S 4 s M T d 9 J n F 1 b 3 Q 7 L C Z x d W 9 0 O 1 N l Y 3 R p b 2 4 x L 0 J h b G F u Y 2 U g U 2 h l Z X Q v Q X V 0 b 1 J l b W 9 2 Z W R D b 2 x 1 b W 5 z M S 5 7 Q k l P V E 9 O I F M u Q S 5 f M i w x O H 0 m c X V v d D s s J n F 1 b 3 Q 7 U 2 V j d G l v b j E v Q m F s Y W 5 j Z S B T a G V l d C 9 B d X R v U m V t b 3 Z l Z E N v b H V t b n M x L n t C S U 9 U T 0 4 g U y 5 B L l 8 z L D E 5 f S Z x d W 9 0 O y w m c X V v d D t T Z W N 0 a W 9 u M S 9 C Y W x h b m N l I F N o Z W V 0 L 0 F 1 d G 9 S Z W 1 v d m V k Q 2 9 s d W 1 u c z E u e 0 J J T 1 R P T i B T L k E u X z Q s M j B 9 J n F 1 b 3 Q 7 L C Z x d W 9 0 O 1 N l Y 3 R p b 2 4 x L 0 J h b G F u Y 2 U g U 2 h l Z X Q v Q X V 0 b 1 J l b W 9 2 Z W R D b 2 x 1 b W 5 z M S 5 7 Q k l P V E 9 O I F M u Q S 4 g a S B C T U E s M j F 9 J n F 1 b 3 Q 7 L C Z x d W 9 0 O 1 N l Y 3 R p b 2 4 x L 0 J h b G F u Y 2 U g U 2 h l Z X Q v Q X V 0 b 1 J l b W 9 2 Z W R D b 2 x 1 b W 5 z M S 5 7 Q k l P V E 9 O I F M u Q S 5 f N S w y M n 0 m c X V v d D s s J n F 1 b 3 Q 7 U 2 V j d G l v b j E v Q m F s Y W 5 j Z S B T a G V l d C 9 B d X R v U m V t b 3 Z l Z E N v b H V t b n M x L n t C S U 9 U T 0 4 g T W F y a 2 V 0 a W 5 n I E F n Z W 5 j e S w y M 3 0 m c X V v d D s s J n F 1 b 3 Q 7 U 2 V j d G l v b j E v Q m F s Y W 5 j Z S B T a G V l d C 9 B d X R v U m V t b 3 Z l Z E N v b H V t b n M x L n t C S U 9 U T 0 4 g T W F y a 2 V 0 a W 5 n I E F n Z W 5 j e V 8 2 L D I 0 f S Z x d W 9 0 O y w m c X V v d D t T Z W N 0 a W 9 u M S 9 C Y W x h b m N l I F N o Z W V 0 L 0 F 1 d G 9 S Z W 1 v d m V k Q 2 9 s d W 1 u c z E u e 0 J J T 1 R P T i B T L k E u X z c s M j V 9 J n F 1 b 3 Q 7 L C Z x d W 9 0 O 1 N l Y 3 R p b 2 4 x L 0 J h b G F u Y 2 U g U 2 h l Z X Q v Q X V 0 b 1 J l b W 9 2 Z W R D b 2 x 1 b W 5 z M S 5 7 S W 5 k Y X I s M j Z 9 J n F 1 b 3 Q 7 L C Z x d W 9 0 O 1 N l Y 3 R p b 2 4 x L 0 J h b G F u Y 2 U g U 2 h l Z X Q v Q X V 0 b 1 J l b W 9 2 Z W R D b 2 x 1 b W 5 z M S 5 7 Q k l P V E 9 O I F d P U 1 R P S y w y N 3 0 m c X V v d D s s J n F 1 b 3 Q 7 U 2 V j d G l v b j E v Q m F s Y W 5 j Z S B T a G V l d C 9 B d X R v U m V t b 3 Z l Z E N v b H V t b n M x L n t C S U 9 U T 0 4 g V 0 9 T V E 9 L X z g s M j h 9 J n F 1 b 3 Q 7 L C Z x d W 9 0 O 1 N l Y 3 R p b 2 4 x L 0 J h b G F u Y 2 U g U 2 h l Z X Q v Q X V 0 b 1 J l b W 9 2 Z W R D b 2 x 1 b W 5 z M S 5 7 U 2 N p R 2 V u X z k s M j l 9 J n F 1 b 3 Q 7 L C Z x d W 9 0 O 1 N l Y 3 R p b 2 4 x L 0 J h b G F u Y 2 U g U 2 h l Z X Q v Q X V 0 b 1 J l b W 9 2 Z W R D b 2 x 1 b W 5 z M S 5 7 U 2 N p R 2 V u X z E w L D M w f S Z x d W 9 0 O y w m c X V v d D t T Z W N 0 a W 9 u M S 9 C Y W x h b m N l I F N o Z W V 0 L 0 F 1 d G 9 S Z W 1 v d m V k Q 2 9 s d W 1 u c z E u e 1 N j a U d l b l 8 x M S w z M X 0 m c X V v d D s s J n F 1 b 3 Q 7 U 2 V j d G l v b j E v Q m F s Y W 5 j Z S B T a G V l d C 9 B d X R v U m V t b 3 Z l Z E N v b H V t b n M x L n t T Y 2 l H Z W 5 f M T I s M z J 9 J n F 1 b 3 Q 7 L C Z x d W 9 0 O 1 N l Y 3 R p b 2 4 x L 0 J h b G F u Y 2 U g U 2 h l Z X Q v Q X V 0 b 1 J l b W 9 2 Z W R D b 2 x 1 b W 5 z M S 5 7 U 2 N p R 2 V u X z E z L D M z f S Z x d W 9 0 O y w m c X V v d D t T Z W N 0 a W 9 u M S 9 C Y W x h b m N l I F N o Z W V 0 L 0 F 1 d G 9 S Z W 1 v d m V k Q 2 9 s d W 1 u c z E u e 0 J p b 1 B h c n R u Z X J z X z E 0 L D M 0 f S Z x d W 9 0 O y w m c X V v d D t T Z W N 0 a W 9 u M S 9 C Y W x h b m N l I F N o Z W V 0 L 0 F 1 d G 9 S Z W 1 v d m V k Q 2 9 s d W 1 u c z E u e 0 1 l Z G l w b 2 x p c 1 8 x N S w z N X 0 m c X V v d D s s J n F 1 b 3 Q 7 U 2 V j d G l v b j E v Q m F s Y W 5 j Z S B T a G V l d C 9 B d X R v U m V t b 3 Z l Z E N v b H V t b n M x L n t N S i B C S U 9 Q S E F S T V 8 x N i w z N n 0 m c X V v d D s s J n F 1 b 3 Q 7 U 2 V j d G l v b j E v Q m F s Y W 5 j Z S B T a G V l d C 9 B d X R v U m V t b 3 Z l Z E N v b H V t b n M x L n t N S i B C S U 9 Q S E F S T V 8 x N y w z N 3 0 m c X V v d D s s J n F 1 b 3 Q 7 U 2 V j d G l v b j E v Q m F s Y W 5 j Z S B T a G V l d C 9 B d X R v U m V t b 3 Z l Z E N v b H V t b n M x L n t G a X N p b 3 B o Y X J t Y S w z O H 0 m c X V v d D s s J n F 1 b 3 Q 7 U 2 V j d G l v b j E v Q m F s Y W 5 j Z S B T a G V l d C 9 B d X R v U m V t b 3 Z l Z E N v b H V t b n M x L n t G a X N p b 3 B o Y X J t Y V 8 x O C w z O X 0 m c X V v d D s s J n F 1 b 3 Q 7 U 2 V j d G l v b j E v Q m F s Y W 5 j Z S B T a G V l d C 9 B d X R v U m V t b 3 Z l Z E N v b H V t b n M x L n t G a X N p b 3 B o Y X J t Y V 8 x O S w 0 M H 0 m c X V v d D s s J n F 1 b 3 Q 7 U 2 V j d G l v b j E v Q m F s Y W 5 j Z S B T a G V l d C 9 B d X R v U m V t b 3 Z l Z E N v b H V t b n M x L n t Q a G F y b W F 0 Z X h f M j A s N D F 9 J n F 1 b 3 Q 7 L C Z x d W 9 0 O 1 N l Y 3 R p b 2 4 x L 0 J h b G F u Y 2 U g U 2 h l Z X Q v Q X V 0 b 1 J l b W 9 2 Z W R D b 2 x 1 b W 5 z M S 5 7 U G h h c m 1 h d G V 4 X z I x L D Q y f S Z x d W 9 0 O y w m c X V v d D t T Z W N 0 a W 9 u M S 9 C Y W x h b m N l I F N o Z W V 0 L 0 F 1 d G 9 S Z W 1 v d m V k Q 2 9 s d W 1 u c z E u e 1 B o Y X J t Y X R l e F 8 y M i w 0 M 3 0 m c X V v d D s s J n F 1 b 3 Q 7 U 2 V j d G l v b j E v Q m F s Y W 5 j Z S B T a G V l d C 9 B d X R v U m V t b 3 Z l Z E N v b H V t b n M x L n t U c m l j Z W w s N D R 9 J n F 1 b 3 Q 7 L C Z x d W 9 0 O 1 N l Y 3 R p b 2 4 x L 0 J h b G F u Y 2 U g U 2 h l Z X Q v Q X V 0 b 1 J l b W 9 2 Z W R D b 2 x 1 b W 5 z M S 5 7 V H J p Y 2 V s X z I z L D Q 1 f S Z x d W 9 0 O y w m c X V v d D t T Z W N 0 a W 9 u M S 9 C Y W x h b m N l I F N o Z W V 0 L 0 F 1 d G 9 S Z W 1 v d m V k Q 2 9 s d W 1 u c z E u e 0 N v c G V y b m l j d X N f M j Q s N D Z 9 J n F 1 b 3 Q 7 L C Z x d W 9 0 O 1 N l Y 3 R p b 2 4 x L 0 J h b G F u Y 2 U g U 2 h l Z X Q v Q X V 0 b 1 J l b W 9 2 Z W R D b 2 x 1 b W 5 z M S 5 7 Q k l P T E V L I F N w L i B 6 I G 8 u b y 4 s N D d 9 J n F 1 b 3 Q 7 L C Z x d W 9 0 O 1 N l Y 3 R p b 2 4 x L 0 J h b G F u Y 2 U g U 2 h l Z X Q v Q X V 0 b 1 J l b W 9 2 Z W R D b 2 x 1 b W 5 z M S 5 7 Q k l P T E V L I E l O Q y w 0 O H 0 m c X V v d D s s J n F 1 b 3 Q 7 U 2 V j d G l v b j E v Q m F s Y W 5 j Z S B T a G V l d C 9 B d X R v U m V t b 3 Z l Z E N v b H V t b n M x L n t N S i B C S U 9 U T 0 4 g T G l m Z X N j a W V u Y 2 V z I E x 0 Z C w 0 O X 0 m c X V v d D s s J n F 1 b 3 Q 7 U 2 V j d G l v b j E v Q m F s Y W 5 j Z S B T a G V l d C 9 B d X R v U m V t b 3 Z l Z E N v b H V t b n M x L n t N S i B C S U 9 U T 0 4 g T G l m Z X N j a W V u Y 2 V z I E x 0 Z F 8 y N S w 1 M H 0 m c X V v d D s s J n F 1 b 3 Q 7 U 2 V j d G l v b j E v Q m F s Y W 5 j Z S B T a G V l d C 9 B d X R v U m V t b 3 Z l Z E N v b H V t b n M x L n t N S i B C S U 9 U T 0 4 g T G l m Z X N j a W V u Y 2 V z I E x 0 Z F 8 y N i w 1 M X 0 m c X V v d D s s J n F 1 b 3 Q 7 U 2 V j d G l v b j E v Q m F s Y W 5 j Z S B T a G V l d C 9 B d X R v U m V t b 3 Z l Z E N v b H V t b n M x L n s g Q k l P V E 9 O I E l u d G V y b m F 0 a W 9 u Y W w g R 2 1 i a C w 1 M n 0 m c X V v d D s s J n F 1 b 3 Q 7 U 2 V j d G l v b j E v Q m F s Y W 5 j Z S B T a G V l d C 9 B d X R v U m V t b 3 Z l Z E N v b H V t b n M x L n t Q S y A y L D U z f S Z x d W 9 0 O y w m c X V v d D t T Z W N 0 a W 9 u M S 9 C Y W x h b m N l I F N o Z W V 0 L 0 F 1 d G 9 S Z W 1 v d m V k Q 2 9 s d W 1 u c z E u e 1 B L I D J h L D U 0 f S Z x d W 9 0 O y w m c X V v d D t T Z W N 0 a W 9 u M S 9 C Y W x h b m N l I F N o Z W V 0 L 0 F 1 d G 9 S Z W 1 v d m V k Q 2 9 s d W 1 u c z E u e 1 B L I D N h L D U 1 f S Z x d W 9 0 O y w m c X V v d D t T Z W N 0 a W 9 u M S 9 C Y W x h b m N l I F N o Z W V 0 L 0 F 1 d G 9 S Z W 1 v d m V k Q 2 9 s d W 1 u c z E u e 1 B L I D N i L D U 2 f S Z x d W 9 0 O y w m c X V v d D t T Z W N 0 a W 9 u M S 9 C Y W x h b m N l I F N o Z W V 0 L 0 F 1 d G 9 S Z W 1 v d m V k Q 2 9 s d W 1 u c z E u e 0 d l c m 1 v b n R h I C h B a 3 R h d m l z K S w 1 N 3 0 m c X V v d D s s J n F 1 b 3 Q 7 U 2 V j d G l v b j E v Q m F s Y W 5 j Z S B T a G V l d C 9 B d X R v U m V t b 3 Z l Z E N v b H V t b n M x L n t T Y 2 l H Z W 5 f M j c s N T h 9 J n F 1 b 3 Q 7 L C Z x d W 9 0 O 1 N l Y 3 R p b 2 4 x L 0 J h b G F u Y 2 U g U 2 h l Z X Q v Q X V 0 b 1 J l b W 9 2 Z W R D b 2 x 1 b W 5 z M S 5 7 Q m l v U G F y d G 5 l c n N f M j g s N T l 9 J n F 1 b 3 Q 7 L C Z x d W 9 0 O 1 N l Y 3 R p b 2 4 x L 0 J h b G F u Y 2 U g U 2 h l Z X Q v Q X V 0 b 1 J l b W 9 2 Z W R D b 2 x 1 b W 5 z M S 5 7 Q m l v U G F y d G 5 l c n N f M j k s N j B 9 J n F 1 b 3 Q 7 L C Z x d W 9 0 O 1 N l Y 3 R p b 2 4 x L 0 J h b G F u Y 2 U g U 2 h l Z X Q v Q X V 0 b 1 J l b W 9 2 Z W R D b 2 x 1 b W 5 z M S 5 7 T W V k a X B v b G l z X z M w L D Y x f S Z x d W 9 0 O y w m c X V v d D t T Z W N 0 a W 9 u M S 9 C Y W x h b m N l I F N o Z W V 0 L 0 F 1 d G 9 S Z W 1 v d m V k Q 2 9 s d W 1 u c z E u e 0 Z p c 2 l v c G h h c m 1 h X z M x L D Y y f S Z x d W 9 0 O y w m c X V v d D t T Z W N 0 a W 9 u M S 9 C Y W x h b m N l I F N o Z W V 0 L 0 F 1 d G 9 S Z W 1 v d m V k Q 2 9 s d W 1 u c z E u e 1 B o Y X J t Y X R l e F 8 z M i w 2 M 3 0 m c X V v d D s s J n F 1 b 3 Q 7 U 2 V j d G l v b j E v Q m F s Y W 5 j Z S B T a G V l d C 9 B d X R v U m V t b 3 Z l Z E N v b H V t b n M x L n t D b 3 B l c m 5 p Y 3 V z X z M z L D Y 0 f S Z x d W 9 0 O y w m c X V v d D t T Z W N 0 a W 9 u M S 9 C Y W x h b m N l I F N o Z W V 0 L 0 F 1 d G 9 S Z W 1 v d m V k Q 2 9 s d W 1 u c z E u e 1 B v Z G F 0 Z W s g b 2 R y b 2 N 6 b 2 5 5 L D Y 1 f S Z x d W 9 0 O y w m c X V v d D t T Z W N 0 a W 9 u M S 9 C Y W x h b m N l I F N o Z W V 0 L 0 F 1 d G 9 S Z W 1 v d m V k Q 2 9 s d W 1 u c z E u e 0 N v b H V t b j Y 3 L D Y 2 f S Z x d W 9 0 O y w m c X V v d D t T Z W N 0 a W 9 u M S 9 C Y W x h b m N l I F N o Z W V 0 L 0 F 1 d G 9 S Z W 1 v d m V k Q 2 9 s d W 1 u c z E u e 0 d S V V B B L D Y 3 f S Z x d W 9 0 O y w m c X V v d D t T Z W N 0 a W 9 u M S 9 C Y W x h b m N l I F N o Z W V 0 L 0 F 1 d G 9 S Z W 1 v d m V k Q 2 9 s d W 1 u c z E u e 0 d S V V B B X z M 0 L D Y 4 f S Z x d W 9 0 O y w m c X V v d D t T Z W N 0 a W 9 u M S 9 C Y W x h b m N l I F N o Z W V 0 L 0 F 1 d G 9 S Z W 1 v d m V k Q 2 9 s d W 1 u c z E u e 0 R B T k U g U E 9 S w 5 N X T k F X Q 1 p F I E d S V V B B L D Y 5 f S Z x d W 9 0 O y w m c X V v d D t T Z W N 0 a W 9 u M S 9 C Y W x h b m N l I F N o Z W V 0 L 0 F 1 d G 9 S Z W 1 v d m V k Q 2 9 s d W 1 u c z E u e 0 R B T k U g U E 9 S w 5 N X T k F X Q 1 p F I E d S V V B B X z M 1 L D c w f S Z x d W 9 0 O y w m c X V v d D t T Z W N 0 a W 9 u M S 9 C Y W x h b m N l I F N o Z W V 0 L 0 F 1 d G 9 S Z W 1 v d m V k Q 2 9 s d W 1 u c z E u e 0 d S V V B B I E h Z I D I w M T k g d j Q s N z F 9 J n F 1 b 3 Q 7 L C Z x d W 9 0 O 1 N l Y 3 R p b 2 4 x L 0 J h b G F u Y 2 U g U 2 h l Z X Q v Q X V 0 b 1 J l b W 9 2 Z W R D b 2 x 1 b W 5 z M S 5 7 R 1 J V U E F f M z Y s N z J 9 J n F 1 b 3 Q 7 L C Z x d W 9 0 O 1 N l Y 3 R p b 2 4 x L 0 J h b G F u Y 2 U g U 2 h l Z X Q v Q X V 0 b 1 J l b W 9 2 Z W R D b 2 x 1 b W 5 z M S 5 7 Q 2 9 s d W 1 u N z Q s N z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Y W x h b m N l J T I w U 2 h l Z X Q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Y W 5 j Z S U y M F N o Z W V 0 L 0 J h b G F u Y 2 U l M j B T a G V l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b G F u Y 2 U l M j B T a G V l d C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b G F u Y 2 U l M j B T a G V l d C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x h b m N l J T I w U 2 h l Z X Q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M T Y 3 M T F l Y S 0 4 Y z h l L T R l N T Y t Y W M y Y S 1 i M z I z Y T h m N m R j O W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U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M w V D E 1 O j I y O j U 1 L j A y M z Q 3 N D V a I i A v P j x F b n R y e S B U e X B l P S J G a W x s Q 2 9 s d W 1 u V H l w Z X M i I F Z h b H V l P S J z Q U F B Q U F B Q U F B Q U F B Q U F B Q U F B Q U F B Q U F B Q U F B Q U F B Q U F B Q U F B Q U F B Q U F B Q U F B Q U F B Q U F B Q U F B Q U F B Q U F B Q U F B Q U F B Q U F B Q U F B Q U F B Q U F B Q U F B Q U F B Q U F B Q U F B Q U F B Q U F B Q U F B Q U F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F s Y W 5 j Z S B T a G V l d C A o M i k v Q X V 0 b 1 J l b W 9 2 Z W R D b 2 x 1 b W 5 z M S 5 7 Q 2 9 s d W 1 u M S w w f S Z x d W 9 0 O y w m c X V v d D t T Z W N 0 a W 9 u M S 9 C Y W x h b m N l I F N o Z W V 0 I C g y K S 9 B d X R v U m V t b 3 Z l Z E N v b H V t b n M x L n t D b 2 x 1 b W 4 y L D F 9 J n F 1 b 3 Q 7 L C Z x d W 9 0 O 1 N l Y 3 R p b 2 4 x L 0 J h b G F u Y 2 U g U 2 h l Z X Q g K D I p L 0 F 1 d G 9 S Z W 1 v d m V k Q 2 9 s d W 1 u c z E u e 0 N v b H V t b j M s M n 0 m c X V v d D s s J n F 1 b 3 Q 7 U 2 V j d G l v b j E v Q m F s Y W 5 j Z S B T a G V l d C A o M i k v Q X V 0 b 1 J l b W 9 2 Z W R D b 2 x 1 b W 5 z M S 5 7 Q 2 9 s d W 1 u N C w z f S Z x d W 9 0 O y w m c X V v d D t T Z W N 0 a W 9 u M S 9 C Y W x h b m N l I F N o Z W V 0 I C g y K S 9 B d X R v U m V t b 3 Z l Z E N v b H V t b n M x L n t D b 2 x 1 b W 4 1 L D R 9 J n F 1 b 3 Q 7 L C Z x d W 9 0 O 1 N l Y 3 R p b 2 4 x L 0 J h b G F u Y 2 U g U 2 h l Z X Q g K D I p L 0 F 1 d G 9 S Z W 1 v d m V k Q 2 9 s d W 1 u c z E u e 0 N v b H V t b j Y s N X 0 m c X V v d D s s J n F 1 b 3 Q 7 U 2 V j d G l v b j E v Q m F s Y W 5 j Z S B T a G V l d C A o M i k v Q X V 0 b 1 J l b W 9 2 Z W R D b 2 x 1 b W 5 z M S 5 7 Q 2 9 s d W 1 u N y w 2 f S Z x d W 9 0 O y w m c X V v d D t T Z W N 0 a W 9 u M S 9 C Y W x h b m N l I F N o Z W V 0 I C g y K S 9 B d X R v U m V t b 3 Z l Z E N v b H V t b n M x L n t D b 2 x 1 b W 4 4 L D d 9 J n F 1 b 3 Q 7 L C Z x d W 9 0 O 1 N l Y 3 R p b 2 4 x L 0 J h b G F u Y 2 U g U 2 h l Z X Q g K D I p L 0 F 1 d G 9 S Z W 1 v d m V k Q 2 9 s d W 1 u c z E u e 0 N v b H V t b j k s O H 0 m c X V v d D s s J n F 1 b 3 Q 7 U 2 V j d G l v b j E v Q m F s Y W 5 j Z S B T a G V l d C A o M i k v Q X V 0 b 1 J l b W 9 2 Z W R D b 2 x 1 b W 5 z M S 5 7 Q 2 9 s d W 1 u M T A s O X 0 m c X V v d D s s J n F 1 b 3 Q 7 U 2 V j d G l v b j E v Q m F s Y W 5 j Z S B T a G V l d C A o M i k v Q X V 0 b 1 J l b W 9 2 Z W R D b 2 x 1 b W 5 z M S 5 7 Q 2 9 s d W 1 u M T E s M T B 9 J n F 1 b 3 Q 7 L C Z x d W 9 0 O 1 N l Y 3 R p b 2 4 x L 0 J h b G F u Y 2 U g U 2 h l Z X Q g K D I p L 0 F 1 d G 9 S Z W 1 v d m V k Q 2 9 s d W 1 u c z E u e 0 N v b H V t b j E y L D E x f S Z x d W 9 0 O y w m c X V v d D t T Z W N 0 a W 9 u M S 9 C Y W x h b m N l I F N o Z W V 0 I C g y K S 9 B d X R v U m V t b 3 Z l Z E N v b H V t b n M x L n t D b 2 x 1 b W 4 x M y w x M n 0 m c X V v d D s s J n F 1 b 3 Q 7 U 2 V j d G l v b j E v Q m F s Y W 5 j Z S B T a G V l d C A o M i k v Q X V 0 b 1 J l b W 9 2 Z W R D b 2 x 1 b W 5 z M S 5 7 Q 2 9 s d W 1 u M T Q s M T N 9 J n F 1 b 3 Q 7 L C Z x d W 9 0 O 1 N l Y 3 R p b 2 4 x L 0 J h b G F u Y 2 U g U 2 h l Z X Q g K D I p L 0 F 1 d G 9 S Z W 1 v d m V k Q 2 9 s d W 1 u c z E u e 0 N v b H V t b j E 1 L D E 0 f S Z x d W 9 0 O y w m c X V v d D t T Z W N 0 a W 9 u M S 9 C Y W x h b m N l I F N o Z W V 0 I C g y K S 9 B d X R v U m V t b 3 Z l Z E N v b H V t b n M x L n t D b 2 x 1 b W 4 x N i w x N X 0 m c X V v d D s s J n F 1 b 3 Q 7 U 2 V j d G l v b j E v Q m F s Y W 5 j Z S B T a G V l d C A o M i k v Q X V 0 b 1 J l b W 9 2 Z W R D b 2 x 1 b W 5 z M S 5 7 Q 2 9 s d W 1 u M T c s M T Z 9 J n F 1 b 3 Q 7 L C Z x d W 9 0 O 1 N l Y 3 R p b 2 4 x L 0 J h b G F u Y 2 U g U 2 h l Z X Q g K D I p L 0 F 1 d G 9 S Z W 1 v d m V k Q 2 9 s d W 1 u c z E u e 0 N v b H V t b j E 4 L D E 3 f S Z x d W 9 0 O y w m c X V v d D t T Z W N 0 a W 9 u M S 9 C Y W x h b m N l I F N o Z W V 0 I C g y K S 9 B d X R v U m V t b 3 Z l Z E N v b H V t b n M x L n t D b 2 x 1 b W 4 x O S w x O H 0 m c X V v d D s s J n F 1 b 3 Q 7 U 2 V j d G l v b j E v Q m F s Y W 5 j Z S B T a G V l d C A o M i k v Q X V 0 b 1 J l b W 9 2 Z W R D b 2 x 1 b W 5 z M S 5 7 Q 2 9 s d W 1 u M j A s M T l 9 J n F 1 b 3 Q 7 L C Z x d W 9 0 O 1 N l Y 3 R p b 2 4 x L 0 J h b G F u Y 2 U g U 2 h l Z X Q g K D I p L 0 F 1 d G 9 S Z W 1 v d m V k Q 2 9 s d W 1 u c z E u e 0 N v b H V t b j I x L D I w f S Z x d W 9 0 O y w m c X V v d D t T Z W N 0 a W 9 u M S 9 C Y W x h b m N l I F N o Z W V 0 I C g y K S 9 B d X R v U m V t b 3 Z l Z E N v b H V t b n M x L n t D b 2 x 1 b W 4 y M i w y M X 0 m c X V v d D s s J n F 1 b 3 Q 7 U 2 V j d G l v b j E v Q m F s Y W 5 j Z S B T a G V l d C A o M i k v Q X V 0 b 1 J l b W 9 2 Z W R D b 2 x 1 b W 5 z M S 5 7 Q 2 9 s d W 1 u M j M s M j J 9 J n F 1 b 3 Q 7 L C Z x d W 9 0 O 1 N l Y 3 R p b 2 4 x L 0 J h b G F u Y 2 U g U 2 h l Z X Q g K D I p L 0 F 1 d G 9 S Z W 1 v d m V k Q 2 9 s d W 1 u c z E u e 0 N v b H V t b j I 0 L D I z f S Z x d W 9 0 O y w m c X V v d D t T Z W N 0 a W 9 u M S 9 C Y W x h b m N l I F N o Z W V 0 I C g y K S 9 B d X R v U m V t b 3 Z l Z E N v b H V t b n M x L n t D b 2 x 1 b W 4 y N S w y N H 0 m c X V v d D s s J n F 1 b 3 Q 7 U 2 V j d G l v b j E v Q m F s Y W 5 j Z S B T a G V l d C A o M i k v Q X V 0 b 1 J l b W 9 2 Z W R D b 2 x 1 b W 5 z M S 5 7 Q 2 9 s d W 1 u M j Y s M j V 9 J n F 1 b 3 Q 7 L C Z x d W 9 0 O 1 N l Y 3 R p b 2 4 x L 0 J h b G F u Y 2 U g U 2 h l Z X Q g K D I p L 0 F 1 d G 9 S Z W 1 v d m V k Q 2 9 s d W 1 u c z E u e 0 N v b H V t b j I 3 L D I 2 f S Z x d W 9 0 O y w m c X V v d D t T Z W N 0 a W 9 u M S 9 C Y W x h b m N l I F N o Z W V 0 I C g y K S 9 B d X R v U m V t b 3 Z l Z E N v b H V t b n M x L n t D b 2 x 1 b W 4 y O C w y N 3 0 m c X V v d D s s J n F 1 b 3 Q 7 U 2 V j d G l v b j E v Q m F s Y W 5 j Z S B T a G V l d C A o M i k v Q X V 0 b 1 J l b W 9 2 Z W R D b 2 x 1 b W 5 z M S 5 7 Q 2 9 s d W 1 u M j k s M j h 9 J n F 1 b 3 Q 7 L C Z x d W 9 0 O 1 N l Y 3 R p b 2 4 x L 0 J h b G F u Y 2 U g U 2 h l Z X Q g K D I p L 0 F 1 d G 9 S Z W 1 v d m V k Q 2 9 s d W 1 u c z E u e 0 N v b H V t b j M w L D I 5 f S Z x d W 9 0 O y w m c X V v d D t T Z W N 0 a W 9 u M S 9 C Y W x h b m N l I F N o Z W V 0 I C g y K S 9 B d X R v U m V t b 3 Z l Z E N v b H V t b n M x L n t D b 2 x 1 b W 4 z M S w z M H 0 m c X V v d D s s J n F 1 b 3 Q 7 U 2 V j d G l v b j E v Q m F s Y W 5 j Z S B T a G V l d C A o M i k v Q X V 0 b 1 J l b W 9 2 Z W R D b 2 x 1 b W 5 z M S 5 7 Q 2 9 s d W 1 u M z I s M z F 9 J n F 1 b 3 Q 7 L C Z x d W 9 0 O 1 N l Y 3 R p b 2 4 x L 0 J h b G F u Y 2 U g U 2 h l Z X Q g K D I p L 0 F 1 d G 9 S Z W 1 v d m V k Q 2 9 s d W 1 u c z E u e 0 N v b H V t b j M z L D M y f S Z x d W 9 0 O y w m c X V v d D t T Z W N 0 a W 9 u M S 9 C Y W x h b m N l I F N o Z W V 0 I C g y K S 9 B d X R v U m V t b 3 Z l Z E N v b H V t b n M x L n t D b 2 x 1 b W 4 z N C w z M 3 0 m c X V v d D s s J n F 1 b 3 Q 7 U 2 V j d G l v b j E v Q m F s Y W 5 j Z S B T a G V l d C A o M i k v Q X V 0 b 1 J l b W 9 2 Z W R D b 2 x 1 b W 5 z M S 5 7 Q 2 9 s d W 1 u M z U s M z R 9 J n F 1 b 3 Q 7 L C Z x d W 9 0 O 1 N l Y 3 R p b 2 4 x L 0 J h b G F u Y 2 U g U 2 h l Z X Q g K D I p L 0 F 1 d G 9 S Z W 1 v d m V k Q 2 9 s d W 1 u c z E u e 0 N v b H V t b j M 2 L D M 1 f S Z x d W 9 0 O y w m c X V v d D t T Z W N 0 a W 9 u M S 9 C Y W x h b m N l I F N o Z W V 0 I C g y K S 9 B d X R v U m V t b 3 Z l Z E N v b H V t b n M x L n t D b 2 x 1 b W 4 z N y w z N n 0 m c X V v d D s s J n F 1 b 3 Q 7 U 2 V j d G l v b j E v Q m F s Y W 5 j Z S B T a G V l d C A o M i k v Q X V 0 b 1 J l b W 9 2 Z W R D b 2 x 1 b W 5 z M S 5 7 Q 2 9 s d W 1 u M z g s M z d 9 J n F 1 b 3 Q 7 L C Z x d W 9 0 O 1 N l Y 3 R p b 2 4 x L 0 J h b G F u Y 2 U g U 2 h l Z X Q g K D I p L 0 F 1 d G 9 S Z W 1 v d m V k Q 2 9 s d W 1 u c z E u e 0 N v b H V t b j M 5 L D M 4 f S Z x d W 9 0 O y w m c X V v d D t T Z W N 0 a W 9 u M S 9 C Y W x h b m N l I F N o Z W V 0 I C g y K S 9 B d X R v U m V t b 3 Z l Z E N v b H V t b n M x L n t D b 2 x 1 b W 4 0 M C w z O X 0 m c X V v d D s s J n F 1 b 3 Q 7 U 2 V j d G l v b j E v Q m F s Y W 5 j Z S B T a G V l d C A o M i k v Q X V 0 b 1 J l b W 9 2 Z W R D b 2 x 1 b W 5 z M S 5 7 Q 2 9 s d W 1 u N D E s N D B 9 J n F 1 b 3 Q 7 L C Z x d W 9 0 O 1 N l Y 3 R p b 2 4 x L 0 J h b G F u Y 2 U g U 2 h l Z X Q g K D I p L 0 F 1 d G 9 S Z W 1 v d m V k Q 2 9 s d W 1 u c z E u e 0 N v b H V t b j Q y L D Q x f S Z x d W 9 0 O y w m c X V v d D t T Z W N 0 a W 9 u M S 9 C Y W x h b m N l I F N o Z W V 0 I C g y K S 9 B d X R v U m V t b 3 Z l Z E N v b H V t b n M x L n t D b 2 x 1 b W 4 0 M y w 0 M n 0 m c X V v d D s s J n F 1 b 3 Q 7 U 2 V j d G l v b j E v Q m F s Y W 5 j Z S B T a G V l d C A o M i k v Q X V 0 b 1 J l b W 9 2 Z W R D b 2 x 1 b W 5 z M S 5 7 Q 2 9 s d W 1 u N D Q s N D N 9 J n F 1 b 3 Q 7 L C Z x d W 9 0 O 1 N l Y 3 R p b 2 4 x L 0 J h b G F u Y 2 U g U 2 h l Z X Q g K D I p L 0 F 1 d G 9 S Z W 1 v d m V k Q 2 9 s d W 1 u c z E u e 0 N v b H V t b j Q 1 L D Q 0 f S Z x d W 9 0 O y w m c X V v d D t T Z W N 0 a W 9 u M S 9 C Y W x h b m N l I F N o Z W V 0 I C g y K S 9 B d X R v U m V t b 3 Z l Z E N v b H V t b n M x L n t D b 2 x 1 b W 4 0 N i w 0 N X 0 m c X V v d D s s J n F 1 b 3 Q 7 U 2 V j d G l v b j E v Q m F s Y W 5 j Z S B T a G V l d C A o M i k v Q X V 0 b 1 J l b W 9 2 Z W R D b 2 x 1 b W 5 z M S 5 7 Q 2 9 s d W 1 u N D c s N D Z 9 J n F 1 b 3 Q 7 L C Z x d W 9 0 O 1 N l Y 3 R p b 2 4 x L 0 J h b G F u Y 2 U g U 2 h l Z X Q g K D I p L 0 F 1 d G 9 S Z W 1 v d m V k Q 2 9 s d W 1 u c z E u e 0 N v b H V t b j Q 4 L D Q 3 f S Z x d W 9 0 O y w m c X V v d D t T Z W N 0 a W 9 u M S 9 C Y W x h b m N l I F N o Z W V 0 I C g y K S 9 B d X R v U m V t b 3 Z l Z E N v b H V t b n M x L n t D b 2 x 1 b W 4 0 O S w 0 O H 0 m c X V v d D s s J n F 1 b 3 Q 7 U 2 V j d G l v b j E v Q m F s Y W 5 j Z S B T a G V l d C A o M i k v Q X V 0 b 1 J l b W 9 2 Z W R D b 2 x 1 b W 5 z M S 5 7 Q 2 9 s d W 1 u N T A s N D l 9 J n F 1 b 3 Q 7 L C Z x d W 9 0 O 1 N l Y 3 R p b 2 4 x L 0 J h b G F u Y 2 U g U 2 h l Z X Q g K D I p L 0 F 1 d G 9 S Z W 1 v d m V k Q 2 9 s d W 1 u c z E u e 0 N v b H V t b j U x L D U w f S Z x d W 9 0 O y w m c X V v d D t T Z W N 0 a W 9 u M S 9 C Y W x h b m N l I F N o Z W V 0 I C g y K S 9 B d X R v U m V t b 3 Z l Z E N v b H V t b n M x L n t D b 2 x 1 b W 4 1 M i w 1 M X 0 m c X V v d D s s J n F 1 b 3 Q 7 U 2 V j d G l v b j E v Q m F s Y W 5 j Z S B T a G V l d C A o M i k v Q X V 0 b 1 J l b W 9 2 Z W R D b 2 x 1 b W 5 z M S 5 7 Q 2 9 s d W 1 u N T M s N T J 9 J n F 1 b 3 Q 7 L C Z x d W 9 0 O 1 N l Y 3 R p b 2 4 x L 0 J h b G F u Y 2 U g U 2 h l Z X Q g K D I p L 0 F 1 d G 9 S Z W 1 v d m V k Q 2 9 s d W 1 u c z E u e 0 N v b H V t b j U 0 L D U z f S Z x d W 9 0 O y w m c X V v d D t T Z W N 0 a W 9 u M S 9 C Y W x h b m N l I F N o Z W V 0 I C g y K S 9 B d X R v U m V t b 3 Z l Z E N v b H V t b n M x L n t D b 2 x 1 b W 4 1 N S w 1 N H 0 m c X V v d D s s J n F 1 b 3 Q 7 U 2 V j d G l v b j E v Q m F s Y W 5 j Z S B T a G V l d C A o M i k v Q X V 0 b 1 J l b W 9 2 Z W R D b 2 x 1 b W 5 z M S 5 7 Q 2 9 s d W 1 u N T Y s N T V 9 J n F 1 b 3 Q 7 L C Z x d W 9 0 O 1 N l Y 3 R p b 2 4 x L 0 J h b G F u Y 2 U g U 2 h l Z X Q g K D I p L 0 F 1 d G 9 S Z W 1 v d m V k Q 2 9 s d W 1 u c z E u e 0 N v b H V t b j U 3 L D U 2 f S Z x d W 9 0 O y w m c X V v d D t T Z W N 0 a W 9 u M S 9 C Y W x h b m N l I F N o Z W V 0 I C g y K S 9 B d X R v U m V t b 3 Z l Z E N v b H V t b n M x L n t D b 2 x 1 b W 4 1 O C w 1 N 3 0 m c X V v d D s s J n F 1 b 3 Q 7 U 2 V j d G l v b j E v Q m F s Y W 5 j Z S B T a G V l d C A o M i k v Q X V 0 b 1 J l b W 9 2 Z W R D b 2 x 1 b W 5 z M S 5 7 Q 2 9 s d W 1 u N T k s N T h 9 J n F 1 b 3 Q 7 L C Z x d W 9 0 O 1 N l Y 3 R p b 2 4 x L 0 J h b G F u Y 2 U g U 2 h l Z X Q g K D I p L 0 F 1 d G 9 S Z W 1 v d m V k Q 2 9 s d W 1 u c z E u e 0 N v b H V t b j Y w L D U 5 f S Z x d W 9 0 O y w m c X V v d D t T Z W N 0 a W 9 u M S 9 C Y W x h b m N l I F N o Z W V 0 I C g y K S 9 B d X R v U m V t b 3 Z l Z E N v b H V t b n M x L n t D b 2 x 1 b W 4 2 M S w 2 M H 0 m c X V v d D s s J n F 1 b 3 Q 7 U 2 V j d G l v b j E v Q m F s Y W 5 j Z S B T a G V l d C A o M i k v Q X V 0 b 1 J l b W 9 2 Z W R D b 2 x 1 b W 5 z M S 5 7 Q 2 9 s d W 1 u N j I s N j F 9 J n F 1 b 3 Q 7 L C Z x d W 9 0 O 1 N l Y 3 R p b 2 4 x L 0 J h b G F u Y 2 U g U 2 h l Z X Q g K D I p L 0 F 1 d G 9 S Z W 1 v d m V k Q 2 9 s d W 1 u c z E u e 0 N v b H V t b j Y z L D Y y f S Z x d W 9 0 O y w m c X V v d D t T Z W N 0 a W 9 u M S 9 C Y W x h b m N l I F N o Z W V 0 I C g y K S 9 B d X R v U m V t b 3 Z l Z E N v b H V t b n M x L n t D b 2 x 1 b W 4 2 N C w 2 M 3 0 m c X V v d D s s J n F 1 b 3 Q 7 U 2 V j d G l v b j E v Q m F s Y W 5 j Z S B T a G V l d C A o M i k v Q X V 0 b 1 J l b W 9 2 Z W R D b 2 x 1 b W 5 z M S 5 7 Q 2 9 s d W 1 u N j U s N j R 9 J n F 1 b 3 Q 7 L C Z x d W 9 0 O 1 N l Y 3 R p b 2 4 x L 0 J h b G F u Y 2 U g U 2 h l Z X Q g K D I p L 0 F 1 d G 9 S Z W 1 v d m V k Q 2 9 s d W 1 u c z E u e 0 N v b H V t b j Y 2 L D Y 1 f S Z x d W 9 0 O y w m c X V v d D t T Z W N 0 a W 9 u M S 9 C Y W x h b m N l I F N o Z W V 0 I C g y K S 9 B d X R v U m V t b 3 Z l Z E N v b H V t b n M x L n t D b 2 x 1 b W 4 2 N y w 2 N n 0 m c X V v d D s s J n F 1 b 3 Q 7 U 2 V j d G l v b j E v Q m F s Y W 5 j Z S B T a G V l d C A o M i k v Q X V 0 b 1 J l b W 9 2 Z W R D b 2 x 1 b W 5 z M S 5 7 Q 2 9 s d W 1 u N j g s N j d 9 J n F 1 b 3 Q 7 L C Z x d W 9 0 O 1 N l Y 3 R p b 2 4 x L 0 J h b G F u Y 2 U g U 2 h l Z X Q g K D I p L 0 F 1 d G 9 S Z W 1 v d m V k Q 2 9 s d W 1 u c z E u e 0 N v b H V t b j Y 5 L D Y 4 f S Z x d W 9 0 O y w m c X V v d D t T Z W N 0 a W 9 u M S 9 C Y W x h b m N l I F N o Z W V 0 I C g y K S 9 B d X R v U m V t b 3 Z l Z E N v b H V t b n M x L n t D b 2 x 1 b W 4 3 M C w 2 O X 0 m c X V v d D s s J n F 1 b 3 Q 7 U 2 V j d G l v b j E v Q m F s Y W 5 j Z S B T a G V l d C A o M i k v Q X V 0 b 1 J l b W 9 2 Z W R D b 2 x 1 b W 5 z M S 5 7 Q 2 9 s d W 1 u N z E s N z B 9 J n F 1 b 3 Q 7 L C Z x d W 9 0 O 1 N l Y 3 R p b 2 4 x L 0 J h b G F u Y 2 U g U 2 h l Z X Q g K D I p L 0 F 1 d G 9 S Z W 1 v d m V k Q 2 9 s d W 1 u c z E u e 0 N v b H V t b j c y L D c x f S Z x d W 9 0 O y w m c X V v d D t T Z W N 0 a W 9 u M S 9 C Y W x h b m N l I F N o Z W V 0 I C g y K S 9 B d X R v U m V t b 3 Z l Z E N v b H V t b n M x L n t D b 2 x 1 b W 4 3 M y w 3 M n 0 m c X V v d D s s J n F 1 b 3 Q 7 U 2 V j d G l v b j E v Q m F s Y W 5 j Z S B T a G V l d C A o M i k v Q X V 0 b 1 J l b W 9 2 Z W R D b 2 x 1 b W 5 z M S 5 7 Q 2 9 s d W 1 u N z Q s N z N 9 J n F 1 b 3 Q 7 L C Z x d W 9 0 O 1 N l Y 3 R p b 2 4 x L 0 J h b G F u Y 2 U g U 2 h l Z X Q g K D I p L 0 F 1 d G 9 S Z W 1 v d m V k Q 2 9 s d W 1 u c z E u e 0 N v b H V t b j c 1 L D c 0 f S Z x d W 9 0 O y w m c X V v d D t T Z W N 0 a W 9 u M S 9 C Y W x h b m N l I F N o Z W V 0 I C g y K S 9 B d X R v U m V t b 3 Z l Z E N v b H V t b n M x L n t D b 2 x 1 b W 4 3 N i w 3 N X 0 m c X V v d D t d L C Z x d W 9 0 O 0 N v b H V t b k N v d W 5 0 J n F 1 b 3 Q 7 O j c 2 L C Z x d W 9 0 O 0 t l e U N v b H V t b k 5 h b W V z J n F 1 b 3 Q 7 O l t d L C Z x d W 9 0 O 0 N v b H V t b k l k Z W 5 0 a X R p Z X M m c X V v d D s 6 W y Z x d W 9 0 O 1 N l Y 3 R p b 2 4 x L 0 J h b G F u Y 2 U g U 2 h l Z X Q g K D I p L 0 F 1 d G 9 S Z W 1 v d m V k Q 2 9 s d W 1 u c z E u e 0 N v b H V t b j E s M H 0 m c X V v d D s s J n F 1 b 3 Q 7 U 2 V j d G l v b j E v Q m F s Y W 5 j Z S B T a G V l d C A o M i k v Q X V 0 b 1 J l b W 9 2 Z W R D b 2 x 1 b W 5 z M S 5 7 Q 2 9 s d W 1 u M i w x f S Z x d W 9 0 O y w m c X V v d D t T Z W N 0 a W 9 u M S 9 C Y W x h b m N l I F N o Z W V 0 I C g y K S 9 B d X R v U m V t b 3 Z l Z E N v b H V t b n M x L n t D b 2 x 1 b W 4 z L D J 9 J n F 1 b 3 Q 7 L C Z x d W 9 0 O 1 N l Y 3 R p b 2 4 x L 0 J h b G F u Y 2 U g U 2 h l Z X Q g K D I p L 0 F 1 d G 9 S Z W 1 v d m V k Q 2 9 s d W 1 u c z E u e 0 N v b H V t b j Q s M 3 0 m c X V v d D s s J n F 1 b 3 Q 7 U 2 V j d G l v b j E v Q m F s Y W 5 j Z S B T a G V l d C A o M i k v Q X V 0 b 1 J l b W 9 2 Z W R D b 2 x 1 b W 5 z M S 5 7 Q 2 9 s d W 1 u N S w 0 f S Z x d W 9 0 O y w m c X V v d D t T Z W N 0 a W 9 u M S 9 C Y W x h b m N l I F N o Z W V 0 I C g y K S 9 B d X R v U m V t b 3 Z l Z E N v b H V t b n M x L n t D b 2 x 1 b W 4 2 L D V 9 J n F 1 b 3 Q 7 L C Z x d W 9 0 O 1 N l Y 3 R p b 2 4 x L 0 J h b G F u Y 2 U g U 2 h l Z X Q g K D I p L 0 F 1 d G 9 S Z W 1 v d m V k Q 2 9 s d W 1 u c z E u e 0 N v b H V t b j c s N n 0 m c X V v d D s s J n F 1 b 3 Q 7 U 2 V j d G l v b j E v Q m F s Y W 5 j Z S B T a G V l d C A o M i k v Q X V 0 b 1 J l b W 9 2 Z W R D b 2 x 1 b W 5 z M S 5 7 Q 2 9 s d W 1 u O C w 3 f S Z x d W 9 0 O y w m c X V v d D t T Z W N 0 a W 9 u M S 9 C Y W x h b m N l I F N o Z W V 0 I C g y K S 9 B d X R v U m V t b 3 Z l Z E N v b H V t b n M x L n t D b 2 x 1 b W 4 5 L D h 9 J n F 1 b 3 Q 7 L C Z x d W 9 0 O 1 N l Y 3 R p b 2 4 x L 0 J h b G F u Y 2 U g U 2 h l Z X Q g K D I p L 0 F 1 d G 9 S Z W 1 v d m V k Q 2 9 s d W 1 u c z E u e 0 N v b H V t b j E w L D l 9 J n F 1 b 3 Q 7 L C Z x d W 9 0 O 1 N l Y 3 R p b 2 4 x L 0 J h b G F u Y 2 U g U 2 h l Z X Q g K D I p L 0 F 1 d G 9 S Z W 1 v d m V k Q 2 9 s d W 1 u c z E u e 0 N v b H V t b j E x L D E w f S Z x d W 9 0 O y w m c X V v d D t T Z W N 0 a W 9 u M S 9 C Y W x h b m N l I F N o Z W V 0 I C g y K S 9 B d X R v U m V t b 3 Z l Z E N v b H V t b n M x L n t D b 2 x 1 b W 4 x M i w x M X 0 m c X V v d D s s J n F 1 b 3 Q 7 U 2 V j d G l v b j E v Q m F s Y W 5 j Z S B T a G V l d C A o M i k v Q X V 0 b 1 J l b W 9 2 Z W R D b 2 x 1 b W 5 z M S 5 7 Q 2 9 s d W 1 u M T M s M T J 9 J n F 1 b 3 Q 7 L C Z x d W 9 0 O 1 N l Y 3 R p b 2 4 x L 0 J h b G F u Y 2 U g U 2 h l Z X Q g K D I p L 0 F 1 d G 9 S Z W 1 v d m V k Q 2 9 s d W 1 u c z E u e 0 N v b H V t b j E 0 L D E z f S Z x d W 9 0 O y w m c X V v d D t T Z W N 0 a W 9 u M S 9 C Y W x h b m N l I F N o Z W V 0 I C g y K S 9 B d X R v U m V t b 3 Z l Z E N v b H V t b n M x L n t D b 2 x 1 b W 4 x N S w x N H 0 m c X V v d D s s J n F 1 b 3 Q 7 U 2 V j d G l v b j E v Q m F s Y W 5 j Z S B T a G V l d C A o M i k v Q X V 0 b 1 J l b W 9 2 Z W R D b 2 x 1 b W 5 z M S 5 7 Q 2 9 s d W 1 u M T Y s M T V 9 J n F 1 b 3 Q 7 L C Z x d W 9 0 O 1 N l Y 3 R p b 2 4 x L 0 J h b G F u Y 2 U g U 2 h l Z X Q g K D I p L 0 F 1 d G 9 S Z W 1 v d m V k Q 2 9 s d W 1 u c z E u e 0 N v b H V t b j E 3 L D E 2 f S Z x d W 9 0 O y w m c X V v d D t T Z W N 0 a W 9 u M S 9 C Y W x h b m N l I F N o Z W V 0 I C g y K S 9 B d X R v U m V t b 3 Z l Z E N v b H V t b n M x L n t D b 2 x 1 b W 4 x O C w x N 3 0 m c X V v d D s s J n F 1 b 3 Q 7 U 2 V j d G l v b j E v Q m F s Y W 5 j Z S B T a G V l d C A o M i k v Q X V 0 b 1 J l b W 9 2 Z W R D b 2 x 1 b W 5 z M S 5 7 Q 2 9 s d W 1 u M T k s M T h 9 J n F 1 b 3 Q 7 L C Z x d W 9 0 O 1 N l Y 3 R p b 2 4 x L 0 J h b G F u Y 2 U g U 2 h l Z X Q g K D I p L 0 F 1 d G 9 S Z W 1 v d m V k Q 2 9 s d W 1 u c z E u e 0 N v b H V t b j I w L D E 5 f S Z x d W 9 0 O y w m c X V v d D t T Z W N 0 a W 9 u M S 9 C Y W x h b m N l I F N o Z W V 0 I C g y K S 9 B d X R v U m V t b 3 Z l Z E N v b H V t b n M x L n t D b 2 x 1 b W 4 y M S w y M H 0 m c X V v d D s s J n F 1 b 3 Q 7 U 2 V j d G l v b j E v Q m F s Y W 5 j Z S B T a G V l d C A o M i k v Q X V 0 b 1 J l b W 9 2 Z W R D b 2 x 1 b W 5 z M S 5 7 Q 2 9 s d W 1 u M j I s M j F 9 J n F 1 b 3 Q 7 L C Z x d W 9 0 O 1 N l Y 3 R p b 2 4 x L 0 J h b G F u Y 2 U g U 2 h l Z X Q g K D I p L 0 F 1 d G 9 S Z W 1 v d m V k Q 2 9 s d W 1 u c z E u e 0 N v b H V t b j I z L D I y f S Z x d W 9 0 O y w m c X V v d D t T Z W N 0 a W 9 u M S 9 C Y W x h b m N l I F N o Z W V 0 I C g y K S 9 B d X R v U m V t b 3 Z l Z E N v b H V t b n M x L n t D b 2 x 1 b W 4 y N C w y M 3 0 m c X V v d D s s J n F 1 b 3 Q 7 U 2 V j d G l v b j E v Q m F s Y W 5 j Z S B T a G V l d C A o M i k v Q X V 0 b 1 J l b W 9 2 Z W R D b 2 x 1 b W 5 z M S 5 7 Q 2 9 s d W 1 u M j U s M j R 9 J n F 1 b 3 Q 7 L C Z x d W 9 0 O 1 N l Y 3 R p b 2 4 x L 0 J h b G F u Y 2 U g U 2 h l Z X Q g K D I p L 0 F 1 d G 9 S Z W 1 v d m V k Q 2 9 s d W 1 u c z E u e 0 N v b H V t b j I 2 L D I 1 f S Z x d W 9 0 O y w m c X V v d D t T Z W N 0 a W 9 u M S 9 C Y W x h b m N l I F N o Z W V 0 I C g y K S 9 B d X R v U m V t b 3 Z l Z E N v b H V t b n M x L n t D b 2 x 1 b W 4 y N y w y N n 0 m c X V v d D s s J n F 1 b 3 Q 7 U 2 V j d G l v b j E v Q m F s Y W 5 j Z S B T a G V l d C A o M i k v Q X V 0 b 1 J l b W 9 2 Z W R D b 2 x 1 b W 5 z M S 5 7 Q 2 9 s d W 1 u M j g s M j d 9 J n F 1 b 3 Q 7 L C Z x d W 9 0 O 1 N l Y 3 R p b 2 4 x L 0 J h b G F u Y 2 U g U 2 h l Z X Q g K D I p L 0 F 1 d G 9 S Z W 1 v d m V k Q 2 9 s d W 1 u c z E u e 0 N v b H V t b j I 5 L D I 4 f S Z x d W 9 0 O y w m c X V v d D t T Z W N 0 a W 9 u M S 9 C Y W x h b m N l I F N o Z W V 0 I C g y K S 9 B d X R v U m V t b 3 Z l Z E N v b H V t b n M x L n t D b 2 x 1 b W 4 z M C w y O X 0 m c X V v d D s s J n F 1 b 3 Q 7 U 2 V j d G l v b j E v Q m F s Y W 5 j Z S B T a G V l d C A o M i k v Q X V 0 b 1 J l b W 9 2 Z W R D b 2 x 1 b W 5 z M S 5 7 Q 2 9 s d W 1 u M z E s M z B 9 J n F 1 b 3 Q 7 L C Z x d W 9 0 O 1 N l Y 3 R p b 2 4 x L 0 J h b G F u Y 2 U g U 2 h l Z X Q g K D I p L 0 F 1 d G 9 S Z W 1 v d m V k Q 2 9 s d W 1 u c z E u e 0 N v b H V t b j M y L D M x f S Z x d W 9 0 O y w m c X V v d D t T Z W N 0 a W 9 u M S 9 C Y W x h b m N l I F N o Z W V 0 I C g y K S 9 B d X R v U m V t b 3 Z l Z E N v b H V t b n M x L n t D b 2 x 1 b W 4 z M y w z M n 0 m c X V v d D s s J n F 1 b 3 Q 7 U 2 V j d G l v b j E v Q m F s Y W 5 j Z S B T a G V l d C A o M i k v Q X V 0 b 1 J l b W 9 2 Z W R D b 2 x 1 b W 5 z M S 5 7 Q 2 9 s d W 1 u M z Q s M z N 9 J n F 1 b 3 Q 7 L C Z x d W 9 0 O 1 N l Y 3 R p b 2 4 x L 0 J h b G F u Y 2 U g U 2 h l Z X Q g K D I p L 0 F 1 d G 9 S Z W 1 v d m V k Q 2 9 s d W 1 u c z E u e 0 N v b H V t b j M 1 L D M 0 f S Z x d W 9 0 O y w m c X V v d D t T Z W N 0 a W 9 u M S 9 C Y W x h b m N l I F N o Z W V 0 I C g y K S 9 B d X R v U m V t b 3 Z l Z E N v b H V t b n M x L n t D b 2 x 1 b W 4 z N i w z N X 0 m c X V v d D s s J n F 1 b 3 Q 7 U 2 V j d G l v b j E v Q m F s Y W 5 j Z S B T a G V l d C A o M i k v Q X V 0 b 1 J l b W 9 2 Z W R D b 2 x 1 b W 5 z M S 5 7 Q 2 9 s d W 1 u M z c s M z Z 9 J n F 1 b 3 Q 7 L C Z x d W 9 0 O 1 N l Y 3 R p b 2 4 x L 0 J h b G F u Y 2 U g U 2 h l Z X Q g K D I p L 0 F 1 d G 9 S Z W 1 v d m V k Q 2 9 s d W 1 u c z E u e 0 N v b H V t b j M 4 L D M 3 f S Z x d W 9 0 O y w m c X V v d D t T Z W N 0 a W 9 u M S 9 C Y W x h b m N l I F N o Z W V 0 I C g y K S 9 B d X R v U m V t b 3 Z l Z E N v b H V t b n M x L n t D b 2 x 1 b W 4 z O S w z O H 0 m c X V v d D s s J n F 1 b 3 Q 7 U 2 V j d G l v b j E v Q m F s Y W 5 j Z S B T a G V l d C A o M i k v Q X V 0 b 1 J l b W 9 2 Z W R D b 2 x 1 b W 5 z M S 5 7 Q 2 9 s d W 1 u N D A s M z l 9 J n F 1 b 3 Q 7 L C Z x d W 9 0 O 1 N l Y 3 R p b 2 4 x L 0 J h b G F u Y 2 U g U 2 h l Z X Q g K D I p L 0 F 1 d G 9 S Z W 1 v d m V k Q 2 9 s d W 1 u c z E u e 0 N v b H V t b j Q x L D Q w f S Z x d W 9 0 O y w m c X V v d D t T Z W N 0 a W 9 u M S 9 C Y W x h b m N l I F N o Z W V 0 I C g y K S 9 B d X R v U m V t b 3 Z l Z E N v b H V t b n M x L n t D b 2 x 1 b W 4 0 M i w 0 M X 0 m c X V v d D s s J n F 1 b 3 Q 7 U 2 V j d G l v b j E v Q m F s Y W 5 j Z S B T a G V l d C A o M i k v Q X V 0 b 1 J l b W 9 2 Z W R D b 2 x 1 b W 5 z M S 5 7 Q 2 9 s d W 1 u N D M s N D J 9 J n F 1 b 3 Q 7 L C Z x d W 9 0 O 1 N l Y 3 R p b 2 4 x L 0 J h b G F u Y 2 U g U 2 h l Z X Q g K D I p L 0 F 1 d G 9 S Z W 1 v d m V k Q 2 9 s d W 1 u c z E u e 0 N v b H V t b j Q 0 L D Q z f S Z x d W 9 0 O y w m c X V v d D t T Z W N 0 a W 9 u M S 9 C Y W x h b m N l I F N o Z W V 0 I C g y K S 9 B d X R v U m V t b 3 Z l Z E N v b H V t b n M x L n t D b 2 x 1 b W 4 0 N S w 0 N H 0 m c X V v d D s s J n F 1 b 3 Q 7 U 2 V j d G l v b j E v Q m F s Y W 5 j Z S B T a G V l d C A o M i k v Q X V 0 b 1 J l b W 9 2 Z W R D b 2 x 1 b W 5 z M S 5 7 Q 2 9 s d W 1 u N D Y s N D V 9 J n F 1 b 3 Q 7 L C Z x d W 9 0 O 1 N l Y 3 R p b 2 4 x L 0 J h b G F u Y 2 U g U 2 h l Z X Q g K D I p L 0 F 1 d G 9 S Z W 1 v d m V k Q 2 9 s d W 1 u c z E u e 0 N v b H V t b j Q 3 L D Q 2 f S Z x d W 9 0 O y w m c X V v d D t T Z W N 0 a W 9 u M S 9 C Y W x h b m N l I F N o Z W V 0 I C g y K S 9 B d X R v U m V t b 3 Z l Z E N v b H V t b n M x L n t D b 2 x 1 b W 4 0 O C w 0 N 3 0 m c X V v d D s s J n F 1 b 3 Q 7 U 2 V j d G l v b j E v Q m F s Y W 5 j Z S B T a G V l d C A o M i k v Q X V 0 b 1 J l b W 9 2 Z W R D b 2 x 1 b W 5 z M S 5 7 Q 2 9 s d W 1 u N D k s N D h 9 J n F 1 b 3 Q 7 L C Z x d W 9 0 O 1 N l Y 3 R p b 2 4 x L 0 J h b G F u Y 2 U g U 2 h l Z X Q g K D I p L 0 F 1 d G 9 S Z W 1 v d m V k Q 2 9 s d W 1 u c z E u e 0 N v b H V t b j U w L D Q 5 f S Z x d W 9 0 O y w m c X V v d D t T Z W N 0 a W 9 u M S 9 C Y W x h b m N l I F N o Z W V 0 I C g y K S 9 B d X R v U m V t b 3 Z l Z E N v b H V t b n M x L n t D b 2 x 1 b W 4 1 M S w 1 M H 0 m c X V v d D s s J n F 1 b 3 Q 7 U 2 V j d G l v b j E v Q m F s Y W 5 j Z S B T a G V l d C A o M i k v Q X V 0 b 1 J l b W 9 2 Z W R D b 2 x 1 b W 5 z M S 5 7 Q 2 9 s d W 1 u N T I s N T F 9 J n F 1 b 3 Q 7 L C Z x d W 9 0 O 1 N l Y 3 R p b 2 4 x L 0 J h b G F u Y 2 U g U 2 h l Z X Q g K D I p L 0 F 1 d G 9 S Z W 1 v d m V k Q 2 9 s d W 1 u c z E u e 0 N v b H V t b j U z L D U y f S Z x d W 9 0 O y w m c X V v d D t T Z W N 0 a W 9 u M S 9 C Y W x h b m N l I F N o Z W V 0 I C g y K S 9 B d X R v U m V t b 3 Z l Z E N v b H V t b n M x L n t D b 2 x 1 b W 4 1 N C w 1 M 3 0 m c X V v d D s s J n F 1 b 3 Q 7 U 2 V j d G l v b j E v Q m F s Y W 5 j Z S B T a G V l d C A o M i k v Q X V 0 b 1 J l b W 9 2 Z W R D b 2 x 1 b W 5 z M S 5 7 Q 2 9 s d W 1 u N T U s N T R 9 J n F 1 b 3 Q 7 L C Z x d W 9 0 O 1 N l Y 3 R p b 2 4 x L 0 J h b G F u Y 2 U g U 2 h l Z X Q g K D I p L 0 F 1 d G 9 S Z W 1 v d m V k Q 2 9 s d W 1 u c z E u e 0 N v b H V t b j U 2 L D U 1 f S Z x d W 9 0 O y w m c X V v d D t T Z W N 0 a W 9 u M S 9 C Y W x h b m N l I F N o Z W V 0 I C g y K S 9 B d X R v U m V t b 3 Z l Z E N v b H V t b n M x L n t D b 2 x 1 b W 4 1 N y w 1 N n 0 m c X V v d D s s J n F 1 b 3 Q 7 U 2 V j d G l v b j E v Q m F s Y W 5 j Z S B T a G V l d C A o M i k v Q X V 0 b 1 J l b W 9 2 Z W R D b 2 x 1 b W 5 z M S 5 7 Q 2 9 s d W 1 u N T g s N T d 9 J n F 1 b 3 Q 7 L C Z x d W 9 0 O 1 N l Y 3 R p b 2 4 x L 0 J h b G F u Y 2 U g U 2 h l Z X Q g K D I p L 0 F 1 d G 9 S Z W 1 v d m V k Q 2 9 s d W 1 u c z E u e 0 N v b H V t b j U 5 L D U 4 f S Z x d W 9 0 O y w m c X V v d D t T Z W N 0 a W 9 u M S 9 C Y W x h b m N l I F N o Z W V 0 I C g y K S 9 B d X R v U m V t b 3 Z l Z E N v b H V t b n M x L n t D b 2 x 1 b W 4 2 M C w 1 O X 0 m c X V v d D s s J n F 1 b 3 Q 7 U 2 V j d G l v b j E v Q m F s Y W 5 j Z S B T a G V l d C A o M i k v Q X V 0 b 1 J l b W 9 2 Z W R D b 2 x 1 b W 5 z M S 5 7 Q 2 9 s d W 1 u N j E s N j B 9 J n F 1 b 3 Q 7 L C Z x d W 9 0 O 1 N l Y 3 R p b 2 4 x L 0 J h b G F u Y 2 U g U 2 h l Z X Q g K D I p L 0 F 1 d G 9 S Z W 1 v d m V k Q 2 9 s d W 1 u c z E u e 0 N v b H V t b j Y y L D Y x f S Z x d W 9 0 O y w m c X V v d D t T Z W N 0 a W 9 u M S 9 C Y W x h b m N l I F N o Z W V 0 I C g y K S 9 B d X R v U m V t b 3 Z l Z E N v b H V t b n M x L n t D b 2 x 1 b W 4 2 M y w 2 M n 0 m c X V v d D s s J n F 1 b 3 Q 7 U 2 V j d G l v b j E v Q m F s Y W 5 j Z S B T a G V l d C A o M i k v Q X V 0 b 1 J l b W 9 2 Z W R D b 2 x 1 b W 5 z M S 5 7 Q 2 9 s d W 1 u N j Q s N j N 9 J n F 1 b 3 Q 7 L C Z x d W 9 0 O 1 N l Y 3 R p b 2 4 x L 0 J h b G F u Y 2 U g U 2 h l Z X Q g K D I p L 0 F 1 d G 9 S Z W 1 v d m V k Q 2 9 s d W 1 u c z E u e 0 N v b H V t b j Y 1 L D Y 0 f S Z x d W 9 0 O y w m c X V v d D t T Z W N 0 a W 9 u M S 9 C Y W x h b m N l I F N o Z W V 0 I C g y K S 9 B d X R v U m V t b 3 Z l Z E N v b H V t b n M x L n t D b 2 x 1 b W 4 2 N i w 2 N X 0 m c X V v d D s s J n F 1 b 3 Q 7 U 2 V j d G l v b j E v Q m F s Y W 5 j Z S B T a G V l d C A o M i k v Q X V 0 b 1 J l b W 9 2 Z W R D b 2 x 1 b W 5 z M S 5 7 Q 2 9 s d W 1 u N j c s N j Z 9 J n F 1 b 3 Q 7 L C Z x d W 9 0 O 1 N l Y 3 R p b 2 4 x L 0 J h b G F u Y 2 U g U 2 h l Z X Q g K D I p L 0 F 1 d G 9 S Z W 1 v d m V k Q 2 9 s d W 1 u c z E u e 0 N v b H V t b j Y 4 L D Y 3 f S Z x d W 9 0 O y w m c X V v d D t T Z W N 0 a W 9 u M S 9 C Y W x h b m N l I F N o Z W V 0 I C g y K S 9 B d X R v U m V t b 3 Z l Z E N v b H V t b n M x L n t D b 2 x 1 b W 4 2 O S w 2 O H 0 m c X V v d D s s J n F 1 b 3 Q 7 U 2 V j d G l v b j E v Q m F s Y W 5 j Z S B T a G V l d C A o M i k v Q X V 0 b 1 J l b W 9 2 Z W R D b 2 x 1 b W 5 z M S 5 7 Q 2 9 s d W 1 u N z A s N j l 9 J n F 1 b 3 Q 7 L C Z x d W 9 0 O 1 N l Y 3 R p b 2 4 x L 0 J h b G F u Y 2 U g U 2 h l Z X Q g K D I p L 0 F 1 d G 9 S Z W 1 v d m V k Q 2 9 s d W 1 u c z E u e 0 N v b H V t b j c x L D c w f S Z x d W 9 0 O y w m c X V v d D t T Z W N 0 a W 9 u M S 9 C Y W x h b m N l I F N o Z W V 0 I C g y K S 9 B d X R v U m V t b 3 Z l Z E N v b H V t b n M x L n t D b 2 x 1 b W 4 3 M i w 3 M X 0 m c X V v d D s s J n F 1 b 3 Q 7 U 2 V j d G l v b j E v Q m F s Y W 5 j Z S B T a G V l d C A o M i k v Q X V 0 b 1 J l b W 9 2 Z W R D b 2 x 1 b W 5 z M S 5 7 Q 2 9 s d W 1 u N z M s N z J 9 J n F 1 b 3 Q 7 L C Z x d W 9 0 O 1 N l Y 3 R p b 2 4 x L 0 J h b G F u Y 2 U g U 2 h l Z X Q g K D I p L 0 F 1 d G 9 S Z W 1 v d m V k Q 2 9 s d W 1 u c z E u e 0 N v b H V t b j c 0 L D c z f S Z x d W 9 0 O y w m c X V v d D t T Z W N 0 a W 9 u M S 9 C Y W x h b m N l I F N o Z W V 0 I C g y K S 9 B d X R v U m V t b 3 Z l Z E N v b H V t b n M x L n t D b 2 x 1 b W 4 3 N S w 3 N H 0 m c X V v d D s s J n F 1 b 3 Q 7 U 2 V j d G l v b j E v Q m F s Y W 5 j Z S B T a G V l d C A o M i k v Q X V 0 b 1 J l b W 9 2 Z W R D b 2 x 1 b W 5 z M S 5 7 Q 2 9 s d W 1 u N z Y s N z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Y W x h b m N l J T I w U 2 h l Z X Q l M j A o M i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Y W 5 j Z S U y M F N o Z W V 0 J T I w K D I p L 0 J h b G F u Y 2 U l M j B T a G V l d F 9 T a G V l d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Z G a f J o O T y Q b W k x h 7 D o l R G A A A A A A I A A A A A A B B m A A A A A Q A A I A A A A K Y Z v l a U S j S S H X u u s i T 7 z i L j r A r q L Z P 1 e m 1 s 6 s Z l h X 8 x A A A A A A 6 A A A A A A g A A I A A A A N 8 a V r m p S V z 2 X O W X c o v b / s I P A I O 0 w A k N i D D n w x w U L L B 6 U A A A A A 9 d n + 3 w F 5 I X i k T 9 E c L f j T T G w e 8 3 K + d J m C W G V T j w X 9 H T d + x V h Q x t 5 b V c 8 d 8 Q R B m N z / m g 4 p z 2 s l o 2 D S Z 3 x K J u j N i Y O 2 u Q E q j l T + J m c i C D 2 u W T Q A A A A B / N Y l h X S 0 v c / X v h m e P W b L W R s y z c c i 2 u C t G t k c t P f W f t m 9 8 Q A v X 0 y l 5 s I U E D Z H r A y o t O C + z f 7 Q I t q s d G r 0 Z S z x g = < / D a t a M a s h u p > 
</file>

<file path=customXml/itemProps1.xml><?xml version="1.0" encoding="utf-8"?>
<ds:datastoreItem xmlns:ds="http://schemas.openxmlformats.org/officeDocument/2006/customXml" ds:itemID="{D9174B25-0619-44D9-83EE-7B892862D3F6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a35b3c4e-09f2-42c1-a953-db88aaab64ce}" enabled="0" method="" siteId="{a35b3c4e-09f2-42c1-a953-db88aaab64c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6</vt:i4>
      </vt:variant>
    </vt:vector>
  </HeadingPairs>
  <TitlesOfParts>
    <vt:vector size="16" baseType="lpstr">
      <vt:lpstr>Bilans Grupa</vt:lpstr>
      <vt:lpstr>RZiS Grupa</vt:lpstr>
      <vt:lpstr>P&amp;L Segm 09.2014</vt:lpstr>
      <vt:lpstr>P&amp;L Segm</vt:lpstr>
      <vt:lpstr>P&amp;L Segm 2011-2013</vt:lpstr>
      <vt:lpstr>CF Grupa</vt:lpstr>
      <vt:lpstr>Bilans Jednostk</vt:lpstr>
      <vt:lpstr>RZiS Jednostka</vt:lpstr>
      <vt:lpstr>CF Jednostka</vt:lpstr>
      <vt:lpstr>Segmenty</vt:lpstr>
      <vt:lpstr>'Bilans Grupa'!Obszar_wydruku</vt:lpstr>
      <vt:lpstr>'Bilans Jednostk'!Obszar_wydruku</vt:lpstr>
      <vt:lpstr>'CF Grupa'!Obszar_wydruku</vt:lpstr>
      <vt:lpstr>'CF Jednostka'!Obszar_wydruku</vt:lpstr>
      <vt:lpstr>'RZiS Grupa'!Obszar_wydruku</vt:lpstr>
      <vt:lpstr>'RZiS Jednostka'!Obszar_wydruku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 Harwas</dc:creator>
  <cp:lastModifiedBy>Gabriela Oleksińska</cp:lastModifiedBy>
  <cp:lastPrinted>2025-11-10T12:39:34Z</cp:lastPrinted>
  <dcterms:created xsi:type="dcterms:W3CDTF">2014-11-25T08:03:58Z</dcterms:created>
  <dcterms:modified xsi:type="dcterms:W3CDTF">2026-06-08T12:09:59Z</dcterms:modified>
</cp:coreProperties>
</file>